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650" yWindow="390" windowWidth="12585" windowHeight="11700" firstSheet="15" activeTab="15"/>
  </bookViews>
  <sheets>
    <sheet name="URGENCIAS" sheetId="42" r:id="rId1"/>
    <sheet name="TOCO" sheetId="43" r:id="rId2"/>
    <sheet name="SINDICATO" sheetId="44" r:id="rId3"/>
    <sheet name="CUARTO DE ENCAMADO" sheetId="46" r:id="rId4"/>
    <sheet name="EL DORADO" sheetId="47" r:id="rId5"/>
    <sheet name="BAÑOS DE CUNEROS" sheetId="48" r:id="rId6"/>
    <sheet name="BAÑOS UCIN" sheetId="54" r:id="rId7"/>
    <sheet name="SALAS DE RX" sheetId="49" r:id="rId8"/>
    <sheet name="PASILLOS Y BAÑOS 4 PISO" sheetId="50" r:id="rId9"/>
    <sheet name="PASILLOS PISO 3" sheetId="55" r:id="rId10"/>
    <sheet name="PASILLOS PISO 2" sheetId="56" r:id="rId11"/>
    <sheet name="PASILLO PISO 1" sheetId="57" r:id="rId12"/>
    <sheet name="TERAPIA" sheetId="51" r:id="rId13"/>
    <sheet name="SUBDELEGACION" sheetId="45" r:id="rId14"/>
    <sheet name="SUBDELEGACION ELECTRICO" sheetId="52" r:id="rId15"/>
    <sheet name="Hoja1" sheetId="61" r:id="rId16"/>
  </sheets>
  <definedNames>
    <definedName name="_xlnm.Print_Area" localSheetId="5">'BAÑOS DE CUNEROS'!$A$1:$J$46</definedName>
    <definedName name="_xlnm.Print_Area" localSheetId="6">'BAÑOS UCIN'!$A$1:$J$41</definedName>
    <definedName name="_xlnm.Print_Area" localSheetId="3">'CUARTO DE ENCAMADO'!$A$1:$J$45</definedName>
    <definedName name="_xlnm.Print_Area" localSheetId="4">'EL DORADO'!$A$1:$J$22</definedName>
    <definedName name="_xlnm.Print_Area" localSheetId="10">'PASILLOS PISO 2'!$A$1:$J$69</definedName>
    <definedName name="_xlnm.Print_Area" localSheetId="8">'PASILLOS Y BAÑOS 4 PISO'!$A$1:$J$88</definedName>
    <definedName name="_xlnm.Print_Area" localSheetId="7">'SALAS DE RX'!$A$1:$I$44</definedName>
    <definedName name="_xlnm.Print_Area" localSheetId="2">SINDICATO!$A$1:$J$38</definedName>
    <definedName name="_xlnm.Print_Area" localSheetId="13">SUBDELEGACION!$A$1:$J$27</definedName>
    <definedName name="_xlnm.Print_Area" localSheetId="12">TERAPIA!$A$1:$J$54</definedName>
    <definedName name="_xlnm.Print_Area" localSheetId="0">URGENCIAS!$A$1:$J$139</definedName>
    <definedName name="_xlnm.Print_Titles" localSheetId="5">'BAÑOS DE CUNEROS'!$15:$16</definedName>
    <definedName name="_xlnm.Print_Titles" localSheetId="6">'BAÑOS UCIN'!$15:$16</definedName>
    <definedName name="_xlnm.Print_Titles" localSheetId="3">'CUARTO DE ENCAMADO'!$14:$15</definedName>
    <definedName name="_xlnm.Print_Titles" localSheetId="4">'EL DORADO'!$13:$14</definedName>
    <definedName name="_xlnm.Print_Titles" localSheetId="11">'PASILLO PISO 1'!$15:$16</definedName>
    <definedName name="_xlnm.Print_Titles" localSheetId="10">'PASILLOS PISO 2'!$15:$16</definedName>
    <definedName name="_xlnm.Print_Titles" localSheetId="9">'PASILLOS PISO 3'!$15:$16</definedName>
    <definedName name="_xlnm.Print_Titles" localSheetId="8">'PASILLOS Y BAÑOS 4 PISO'!$1:$3</definedName>
    <definedName name="_xlnm.Print_Titles" localSheetId="7">'SALAS DE RX'!$15:$16</definedName>
    <definedName name="_xlnm.Print_Titles" localSheetId="2">SINDICATO!$15:$16</definedName>
    <definedName name="_xlnm.Print_Titles" localSheetId="14">'SUBDELEGACION ELECTRICO'!$14:$15</definedName>
    <definedName name="_xlnm.Print_Titles" localSheetId="12">TERAPIA!$14:$15</definedName>
    <definedName name="_xlnm.Print_Titles" localSheetId="1">TOCO!$15:$16</definedName>
    <definedName name="_xlnm.Print_Titles" localSheetId="0">URGENCIAS!$15:$16</definedName>
  </definedNames>
  <calcPr calcId="145621"/>
</workbook>
</file>

<file path=xl/calcChain.xml><?xml version="1.0" encoding="utf-8"?>
<calcChain xmlns="http://schemas.openxmlformats.org/spreadsheetml/2006/main">
  <c r="I28" i="61" l="1"/>
  <c r="I30" i="61" s="1"/>
  <c r="J18" i="44" l="1"/>
  <c r="J20" i="51" l="1"/>
  <c r="J26" i="54" l="1"/>
  <c r="J23" i="55" l="1"/>
  <c r="H20" i="50" l="1"/>
  <c r="H33" i="50"/>
  <c r="J27" i="57"/>
  <c r="J26" i="57"/>
  <c r="J25" i="57"/>
  <c r="J24" i="57"/>
  <c r="J23" i="57"/>
  <c r="H22" i="57"/>
  <c r="J22" i="57" s="1"/>
  <c r="H21" i="57"/>
  <c r="J21" i="57" s="1"/>
  <c r="J20" i="57"/>
  <c r="J19" i="57"/>
  <c r="J18" i="57"/>
  <c r="J17" i="57"/>
  <c r="H22" i="55"/>
  <c r="J22" i="55" s="1"/>
  <c r="H21" i="55"/>
  <c r="J21" i="55" s="1"/>
  <c r="J20" i="55"/>
  <c r="J19" i="55"/>
  <c r="J18" i="55"/>
  <c r="J17" i="55"/>
  <c r="J61" i="55" s="1"/>
  <c r="J63" i="55" s="1"/>
  <c r="C14" i="55" s="1"/>
  <c r="H22" i="56"/>
  <c r="J22" i="56" s="1"/>
  <c r="H21" i="56"/>
  <c r="J21" i="56" s="1"/>
  <c r="J27" i="56"/>
  <c r="J26" i="56"/>
  <c r="J25" i="56"/>
  <c r="J24" i="56"/>
  <c r="J23" i="56"/>
  <c r="J20" i="56"/>
  <c r="J19" i="56"/>
  <c r="J18" i="56"/>
  <c r="J17" i="56"/>
  <c r="J65" i="57" l="1"/>
  <c r="J67" i="57" s="1"/>
  <c r="J65" i="56"/>
  <c r="J67" i="56" s="1"/>
  <c r="C14" i="56" l="1"/>
  <c r="C14" i="57"/>
  <c r="I39" i="49"/>
  <c r="G38" i="49"/>
  <c r="G26" i="49"/>
  <c r="G22" i="49"/>
  <c r="G23" i="49" s="1"/>
  <c r="I23" i="49" l="1"/>
  <c r="I32" i="49"/>
  <c r="J34" i="50"/>
  <c r="J33" i="50"/>
  <c r="J38" i="50"/>
  <c r="J46" i="50"/>
  <c r="J37" i="50"/>
  <c r="J36" i="50"/>
  <c r="J35" i="50"/>
  <c r="J20" i="50"/>
  <c r="J19" i="50"/>
  <c r="J18" i="50"/>
  <c r="J17" i="50"/>
  <c r="J16" i="50"/>
  <c r="J34" i="54"/>
  <c r="J30" i="54"/>
  <c r="J29" i="54"/>
  <c r="J84" i="50" l="1"/>
  <c r="J86" i="50" l="1"/>
  <c r="C13" i="50" s="1"/>
  <c r="K36" i="54"/>
  <c r="J33" i="54"/>
  <c r="J32" i="54"/>
  <c r="J31" i="54"/>
  <c r="I28" i="54"/>
  <c r="J28" i="54" s="1"/>
  <c r="I27" i="54"/>
  <c r="J27" i="54" s="1"/>
  <c r="J25" i="54"/>
  <c r="J24" i="54"/>
  <c r="J23" i="54"/>
  <c r="J22" i="54"/>
  <c r="I21" i="54"/>
  <c r="J21" i="54" s="1"/>
  <c r="J20" i="54"/>
  <c r="J19" i="54"/>
  <c r="J18" i="54"/>
  <c r="J17" i="54"/>
  <c r="L15" i="54"/>
  <c r="J22" i="48"/>
  <c r="I36" i="48"/>
  <c r="J36" i="48" s="1"/>
  <c r="I37" i="48"/>
  <c r="J37" i="48" s="1"/>
  <c r="I30" i="48"/>
  <c r="J30" i="48" s="1"/>
  <c r="I29" i="48"/>
  <c r="I28" i="48"/>
  <c r="I34" i="48"/>
  <c r="I21" i="48"/>
  <c r="J36" i="54" l="1"/>
  <c r="J38" i="54" s="1"/>
  <c r="C14" i="54" l="1"/>
  <c r="I78" i="42" l="1"/>
  <c r="I77" i="42"/>
  <c r="J77" i="42" s="1"/>
  <c r="I69" i="42"/>
  <c r="I68" i="42"/>
  <c r="I67" i="42"/>
  <c r="I66" i="42"/>
  <c r="J66" i="42" s="1"/>
  <c r="I83" i="42"/>
  <c r="I81" i="42"/>
  <c r="I85" i="42"/>
  <c r="I86" i="42"/>
  <c r="I71" i="42"/>
  <c r="I70" i="42"/>
  <c r="I65" i="42"/>
  <c r="I76" i="42"/>
  <c r="I80" i="42"/>
  <c r="I79" i="42"/>
  <c r="I73" i="42"/>
  <c r="I72" i="42"/>
  <c r="I75" i="42"/>
  <c r="I120" i="42" l="1"/>
  <c r="J120" i="42" s="1"/>
  <c r="J119" i="42"/>
  <c r="J38" i="46"/>
  <c r="J37" i="46"/>
  <c r="J36" i="46"/>
  <c r="J35" i="46"/>
  <c r="J34" i="46"/>
  <c r="J33" i="46"/>
  <c r="J32" i="46"/>
  <c r="J31" i="46"/>
  <c r="J30" i="46"/>
  <c r="J29" i="46"/>
  <c r="J28" i="46"/>
  <c r="I27" i="46"/>
  <c r="J27" i="46" s="1"/>
  <c r="H26" i="46"/>
  <c r="J26" i="46" s="1"/>
  <c r="I25" i="46"/>
  <c r="J25" i="46" s="1"/>
  <c r="J24" i="46"/>
  <c r="J23" i="46"/>
  <c r="J22" i="46"/>
  <c r="J21" i="46"/>
  <c r="J20" i="46"/>
  <c r="J19" i="46"/>
  <c r="J18" i="46"/>
  <c r="J17" i="46"/>
  <c r="J16" i="46"/>
  <c r="J40" i="46" l="1"/>
  <c r="J48" i="42"/>
  <c r="I57" i="42"/>
  <c r="I53" i="42"/>
  <c r="I40" i="42"/>
  <c r="J40" i="42" s="1"/>
  <c r="I39" i="42"/>
  <c r="J39" i="42" s="1"/>
  <c r="I54" i="42"/>
  <c r="I50" i="42"/>
  <c r="I49" i="42"/>
  <c r="I38" i="42"/>
  <c r="I114" i="42"/>
  <c r="I110" i="42"/>
  <c r="J110" i="42" s="1"/>
  <c r="I111" i="42"/>
  <c r="J111" i="42" s="1"/>
  <c r="I112" i="42"/>
  <c r="I108" i="42"/>
  <c r="I109" i="42"/>
  <c r="J109" i="42" s="1"/>
  <c r="I106" i="42"/>
  <c r="J106" i="42" s="1"/>
  <c r="I107" i="42"/>
  <c r="I113" i="42"/>
  <c r="I105" i="42"/>
  <c r="J105" i="42" s="1"/>
  <c r="I104" i="42"/>
  <c r="J104" i="42" s="1"/>
  <c r="J107" i="42"/>
  <c r="I103" i="42"/>
  <c r="J103" i="42" s="1"/>
  <c r="I102" i="42"/>
  <c r="J102" i="42" s="1"/>
  <c r="J100" i="42"/>
  <c r="J29" i="52"/>
  <c r="J28" i="52"/>
  <c r="J27" i="52"/>
  <c r="J26" i="52"/>
  <c r="J25" i="52"/>
  <c r="J24" i="52"/>
  <c r="J23" i="52"/>
  <c r="J22" i="52"/>
  <c r="J21" i="52"/>
  <c r="J20" i="52"/>
  <c r="J19" i="52"/>
  <c r="J18" i="52"/>
  <c r="J17" i="52"/>
  <c r="J16" i="52"/>
  <c r="J30" i="52" s="1"/>
  <c r="J32" i="52" l="1"/>
  <c r="C13" i="52" s="1"/>
  <c r="J42" i="46"/>
  <c r="C13" i="46" s="1"/>
  <c r="J48" i="51"/>
  <c r="I47" i="51"/>
  <c r="J47" i="51" s="1"/>
  <c r="J46" i="51"/>
  <c r="J45" i="51"/>
  <c r="J44" i="51"/>
  <c r="J43" i="51"/>
  <c r="J42" i="51"/>
  <c r="J41" i="51"/>
  <c r="J40" i="51"/>
  <c r="J39" i="51"/>
  <c r="I38" i="51"/>
  <c r="J38" i="51" s="1"/>
  <c r="I37" i="51"/>
  <c r="J37" i="51" s="1"/>
  <c r="J36" i="51"/>
  <c r="I35" i="51"/>
  <c r="J35" i="51" s="1"/>
  <c r="J34" i="51"/>
  <c r="I33" i="51"/>
  <c r="J33" i="51" s="1"/>
  <c r="J32" i="51"/>
  <c r="J31" i="51"/>
  <c r="J30" i="51"/>
  <c r="I29" i="51"/>
  <c r="J29" i="51" s="1"/>
  <c r="I28" i="51"/>
  <c r="J28" i="51" s="1"/>
  <c r="I27" i="51"/>
  <c r="J27" i="51" s="1"/>
  <c r="I26" i="51"/>
  <c r="J26" i="51" s="1"/>
  <c r="J25" i="51"/>
  <c r="J24" i="51"/>
  <c r="I23" i="51"/>
  <c r="J23" i="51" s="1"/>
  <c r="I22" i="51"/>
  <c r="J22" i="51" s="1"/>
  <c r="J21" i="51"/>
  <c r="J19" i="51"/>
  <c r="J18" i="51"/>
  <c r="J17" i="51"/>
  <c r="J16" i="51"/>
  <c r="I38" i="49"/>
  <c r="I37" i="49"/>
  <c r="I36" i="49"/>
  <c r="I35" i="49"/>
  <c r="I34" i="49"/>
  <c r="I33" i="49"/>
  <c r="I31" i="49"/>
  <c r="I30" i="49"/>
  <c r="I29" i="49"/>
  <c r="I28" i="49"/>
  <c r="I27" i="49"/>
  <c r="I26" i="49"/>
  <c r="I25" i="49"/>
  <c r="I24" i="49"/>
  <c r="I22" i="49"/>
  <c r="I21" i="49"/>
  <c r="I20" i="49"/>
  <c r="I19" i="49"/>
  <c r="I18" i="49"/>
  <c r="I17" i="49"/>
  <c r="K41" i="48"/>
  <c r="J39" i="48"/>
  <c r="J38" i="48"/>
  <c r="J35" i="48"/>
  <c r="J34" i="48"/>
  <c r="H33" i="48"/>
  <c r="J33" i="48" s="1"/>
  <c r="H32" i="48"/>
  <c r="J32" i="48" s="1"/>
  <c r="J31" i="48"/>
  <c r="J29" i="48"/>
  <c r="J28" i="48"/>
  <c r="J27" i="48"/>
  <c r="J26" i="48"/>
  <c r="J25" i="48"/>
  <c r="J24" i="48"/>
  <c r="J23" i="48"/>
  <c r="J21" i="48"/>
  <c r="J20" i="48"/>
  <c r="J19" i="48"/>
  <c r="J18" i="48"/>
  <c r="J17" i="48"/>
  <c r="L15" i="48"/>
  <c r="K19" i="47"/>
  <c r="J18" i="47"/>
  <c r="J17" i="47"/>
  <c r="I16" i="47"/>
  <c r="J16" i="47" s="1"/>
  <c r="M15" i="47"/>
  <c r="J15" i="47"/>
  <c r="H20" i="45"/>
  <c r="J20" i="45" s="1"/>
  <c r="H19" i="45"/>
  <c r="J19" i="45" s="1"/>
  <c r="H18" i="45"/>
  <c r="J18" i="45" s="1"/>
  <c r="H17" i="45"/>
  <c r="J17" i="45" s="1"/>
  <c r="H16" i="45"/>
  <c r="J16" i="45" s="1"/>
  <c r="J22" i="45" s="1"/>
  <c r="J29" i="44"/>
  <c r="J28" i="44"/>
  <c r="J27" i="44"/>
  <c r="J26" i="44"/>
  <c r="J25" i="44"/>
  <c r="J24" i="44"/>
  <c r="J23" i="44"/>
  <c r="J22" i="44"/>
  <c r="J21" i="44"/>
  <c r="J20" i="44"/>
  <c r="J19" i="44"/>
  <c r="J17" i="44"/>
  <c r="J33" i="44" s="1"/>
  <c r="J56" i="43"/>
  <c r="J55" i="43"/>
  <c r="J54" i="43"/>
  <c r="J53" i="43"/>
  <c r="I52" i="43"/>
  <c r="J52" i="43" s="1"/>
  <c r="I51" i="43"/>
  <c r="J51" i="43" s="1"/>
  <c r="I50" i="43"/>
  <c r="J50" i="43" s="1"/>
  <c r="I49" i="43"/>
  <c r="J49" i="43" s="1"/>
  <c r="I48" i="43"/>
  <c r="J48" i="43" s="1"/>
  <c r="I47" i="43"/>
  <c r="J47" i="43" s="1"/>
  <c r="J46" i="43"/>
  <c r="J45" i="43"/>
  <c r="J44" i="43"/>
  <c r="J43" i="43"/>
  <c r="I42" i="43"/>
  <c r="J42" i="43" s="1"/>
  <c r="I41" i="43"/>
  <c r="J41" i="43" s="1"/>
  <c r="I40" i="43"/>
  <c r="J40" i="43" s="1"/>
  <c r="I39" i="43"/>
  <c r="J39" i="43" s="1"/>
  <c r="I38" i="43"/>
  <c r="J38" i="43" s="1"/>
  <c r="I37" i="43"/>
  <c r="J37" i="43" s="1"/>
  <c r="I36" i="43"/>
  <c r="J36" i="43" s="1"/>
  <c r="I35" i="43"/>
  <c r="J35" i="43" s="1"/>
  <c r="I34" i="43"/>
  <c r="J34" i="43" s="1"/>
  <c r="I33" i="43"/>
  <c r="J33" i="43" s="1"/>
  <c r="I32" i="43"/>
  <c r="J32" i="43" s="1"/>
  <c r="I31" i="43"/>
  <c r="J31" i="43" s="1"/>
  <c r="I30" i="43"/>
  <c r="J30" i="43" s="1"/>
  <c r="I29" i="43"/>
  <c r="J29" i="43" s="1"/>
  <c r="I28" i="43"/>
  <c r="J28" i="43" s="1"/>
  <c r="I27" i="43"/>
  <c r="J27" i="43" s="1"/>
  <c r="J26" i="43"/>
  <c r="I25" i="43"/>
  <c r="J25" i="43" s="1"/>
  <c r="I24" i="43"/>
  <c r="J24" i="43" s="1"/>
  <c r="J23" i="43"/>
  <c r="J22" i="43"/>
  <c r="J21" i="43"/>
  <c r="J20" i="43"/>
  <c r="J19" i="43"/>
  <c r="J18" i="43"/>
  <c r="J17" i="43"/>
  <c r="J59" i="42"/>
  <c r="J84" i="42"/>
  <c r="J118" i="42"/>
  <c r="J65" i="42"/>
  <c r="J68" i="42"/>
  <c r="J67" i="42"/>
  <c r="J76" i="42"/>
  <c r="I99" i="42"/>
  <c r="I98" i="42"/>
  <c r="I97" i="42"/>
  <c r="I96" i="42"/>
  <c r="I95" i="42"/>
  <c r="J80" i="42"/>
  <c r="J81" i="42"/>
  <c r="J78" i="42"/>
  <c r="J82" i="42"/>
  <c r="J71" i="42"/>
  <c r="J58" i="42"/>
  <c r="J49" i="42"/>
  <c r="J35" i="42"/>
  <c r="H30" i="42"/>
  <c r="J30" i="42" s="1"/>
  <c r="H31" i="42"/>
  <c r="I31" i="42"/>
  <c r="J26" i="42"/>
  <c r="J25" i="42"/>
  <c r="J24" i="45" l="1"/>
  <c r="C13" i="45" s="1"/>
  <c r="J49" i="51"/>
  <c r="J51" i="51" s="1"/>
  <c r="J19" i="47"/>
  <c r="J35" i="44"/>
  <c r="C14" i="44" s="1"/>
  <c r="J41" i="48"/>
  <c r="J43" i="48" s="1"/>
  <c r="I41" i="49"/>
  <c r="I43" i="49" s="1"/>
  <c r="J59" i="43"/>
  <c r="C13" i="51" l="1"/>
  <c r="C14" i="48"/>
  <c r="J21" i="47"/>
  <c r="C12" i="47" s="1"/>
  <c r="J61" i="43"/>
  <c r="C14" i="43" s="1"/>
  <c r="B14" i="49"/>
  <c r="J112" i="42"/>
  <c r="J117" i="42"/>
  <c r="J116" i="42"/>
  <c r="J115" i="42"/>
  <c r="J114" i="42"/>
  <c r="J113" i="42"/>
  <c r="J108" i="42"/>
  <c r="J29" i="42"/>
  <c r="J56" i="42"/>
  <c r="J52" i="42" l="1"/>
  <c r="J51" i="42"/>
  <c r="J85" i="42"/>
  <c r="J86" i="42"/>
  <c r="J79" i="42"/>
  <c r="J75" i="42"/>
  <c r="J33" i="42"/>
  <c r="J101" i="42"/>
  <c r="J94" i="42" l="1"/>
  <c r="J98" i="42" l="1"/>
  <c r="J97" i="42"/>
  <c r="J96" i="42"/>
  <c r="J99" i="42"/>
  <c r="J95" i="42"/>
  <c r="J60" i="42"/>
  <c r="J93" i="42"/>
  <c r="J90" i="42"/>
  <c r="J89" i="42"/>
  <c r="J91" i="42"/>
  <c r="J63" i="42"/>
  <c r="J64" i="42"/>
  <c r="J62" i="42"/>
  <c r="J32" i="42" l="1"/>
  <c r="J31" i="42"/>
  <c r="J27" i="42"/>
  <c r="J28" i="42"/>
  <c r="J24" i="42"/>
  <c r="J22" i="42"/>
  <c r="J23" i="42"/>
  <c r="J74" i="42"/>
  <c r="J73" i="42"/>
  <c r="J70" i="42"/>
  <c r="J69" i="42" l="1"/>
  <c r="J57" i="42"/>
  <c r="J20" i="42" l="1"/>
  <c r="J19" i="42"/>
  <c r="J50" i="42"/>
  <c r="J55" i="42"/>
  <c r="J54" i="42"/>
  <c r="J53" i="42"/>
  <c r="J45" i="42"/>
  <c r="J46" i="42"/>
  <c r="J34" i="42"/>
  <c r="J18" i="42"/>
  <c r="J44" i="42" l="1"/>
  <c r="J43" i="42"/>
  <c r="J38" i="42"/>
  <c r="J36" i="42"/>
  <c r="J92" i="42"/>
  <c r="J88" i="42"/>
  <c r="J61" i="42"/>
  <c r="I87" i="42"/>
  <c r="J87" i="42" s="1"/>
  <c r="J83" i="42"/>
  <c r="J72" i="42"/>
  <c r="J47" i="42"/>
  <c r="I42" i="42"/>
  <c r="J42" i="42" s="1"/>
  <c r="J41" i="42"/>
  <c r="J37" i="42"/>
  <c r="J21" i="42"/>
  <c r="J17" i="42"/>
  <c r="J131" i="42" l="1"/>
  <c r="J133" i="42" l="1"/>
  <c r="C14" i="42" s="1"/>
</calcChain>
</file>

<file path=xl/sharedStrings.xml><?xml version="1.0" encoding="utf-8"?>
<sst xmlns="http://schemas.openxmlformats.org/spreadsheetml/2006/main" count="1696" uniqueCount="487">
  <si>
    <t>Proyecto</t>
  </si>
  <si>
    <t>Lugar</t>
  </si>
  <si>
    <t>CULIACAN SINALOA</t>
  </si>
  <si>
    <t>Especialidad</t>
  </si>
  <si>
    <t>INSTALACIONES</t>
  </si>
  <si>
    <t>Clave</t>
  </si>
  <si>
    <t>INVITACION</t>
  </si>
  <si>
    <t>Analista</t>
  </si>
  <si>
    <t>Responsable</t>
  </si>
  <si>
    <t>Análisis de partidas</t>
  </si>
  <si>
    <t>Nombre:</t>
  </si>
  <si>
    <t>Unidad:</t>
  </si>
  <si>
    <t>MODULO</t>
  </si>
  <si>
    <t>Código:</t>
  </si>
  <si>
    <t>Fecha de cot.:</t>
  </si>
  <si>
    <t>Código de Proy.:</t>
  </si>
  <si>
    <t>Costo unitario:</t>
  </si>
  <si>
    <t>Moneda:</t>
  </si>
  <si>
    <t>Pesos</t>
  </si>
  <si>
    <t>Código</t>
  </si>
  <si>
    <t>Nombre</t>
  </si>
  <si>
    <t>Unidad</t>
  </si>
  <si>
    <t>Cantidad</t>
  </si>
  <si>
    <t>Costo unitario</t>
  </si>
  <si>
    <t>Costo total</t>
  </si>
  <si>
    <t xml:space="preserve">Unitarios                     </t>
  </si>
  <si>
    <t>SUBTOTAL:</t>
  </si>
  <si>
    <t>COSTO UNITARIO</t>
  </si>
  <si>
    <t>001</t>
  </si>
  <si>
    <t>IMSS HGR No. 1</t>
  </si>
  <si>
    <t>002</t>
  </si>
  <si>
    <t>003</t>
  </si>
  <si>
    <t>004</t>
  </si>
  <si>
    <t>005</t>
  </si>
  <si>
    <t>OBRA CIVIL E INSTALACIONES HGR No. 1</t>
  </si>
  <si>
    <t>19-SEPTIEMBRE-2015</t>
  </si>
  <si>
    <t>ARQ. ROXANA PATRICIA OLIVAS LOPEZ</t>
  </si>
  <si>
    <t>006</t>
  </si>
  <si>
    <t>007</t>
  </si>
  <si>
    <t>008</t>
  </si>
  <si>
    <t>009</t>
  </si>
  <si>
    <t>010</t>
  </si>
  <si>
    <t>011</t>
  </si>
  <si>
    <t>012</t>
  </si>
  <si>
    <t>013</t>
  </si>
  <si>
    <t>014</t>
  </si>
  <si>
    <t>M2</t>
  </si>
  <si>
    <t>M3</t>
  </si>
  <si>
    <t>ML</t>
  </si>
  <si>
    <t>PZA.</t>
  </si>
  <si>
    <t>015</t>
  </si>
  <si>
    <t>016</t>
  </si>
  <si>
    <t>017</t>
  </si>
  <si>
    <t>018</t>
  </si>
  <si>
    <t>019</t>
  </si>
  <si>
    <t>020</t>
  </si>
  <si>
    <t>021</t>
  </si>
  <si>
    <t>022</t>
  </si>
  <si>
    <t>023</t>
  </si>
  <si>
    <t>024</t>
  </si>
  <si>
    <t>025</t>
  </si>
  <si>
    <t>026</t>
  </si>
  <si>
    <t>027</t>
  </si>
  <si>
    <t>028</t>
  </si>
  <si>
    <t>029</t>
  </si>
  <si>
    <t>030</t>
  </si>
  <si>
    <t xml:space="preserve">NOTA: </t>
  </si>
  <si>
    <t>LOS PRECIOS UNITARIOS SON MAS IVA</t>
  </si>
  <si>
    <t>031</t>
  </si>
  <si>
    <t>032</t>
  </si>
  <si>
    <t>033</t>
  </si>
  <si>
    <t>034</t>
  </si>
  <si>
    <t>035</t>
  </si>
  <si>
    <t>036</t>
  </si>
  <si>
    <t>037</t>
  </si>
  <si>
    <t>038</t>
  </si>
  <si>
    <t>039</t>
  </si>
  <si>
    <t>ADAME</t>
  </si>
  <si>
    <t>PREPARACION DE LA SUPERFICIE EN MUROS CONSISTIENDO EN RESANE DE MUROS Y PERFILADO DE ESQUINAS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</si>
  <si>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DE MUROS CON RECUBRIMIENTO VIDRIADO CONSISTIENDO EN RESANE CON CEMENTO BLENCO DE MUROS CON RECUBRIMIENTO VIDRIADO, PERFILADO DE ESQUINAS CON YESO EN SU CASO REPOSICION DE AZULEJO FALTANTE O QUEBRADO,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</si>
  <si>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DESMANTELADO DE PLAFON EN MURO A BASE MADERA CON RECUBRIMIENTO DE FORMICA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</si>
  <si>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DEMOLICION DE RECUBRIMIENTO VIDRIADO EN MURO Y RETIRO PRODUCTO DE LA DEMOLICION  CONSISTIENDO EN DEMOLICION DE RECUBRIMIENTO DE AZULEJO EN MURO POR MEDIUO MANUAL Y MECANICO, ACEARREO DE PRODUCTO DE LA DEMOLICION AL AREA TEMPORAL DENTRO DE LAS INSTALACIONES DEL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</si>
  <si>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DESMANTELADO DE MURO DE CANCELERIA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</si>
  <si>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RETIRO DE DESECHOS PRODUCTO DE LA DEMOLICION DE RECUBRIMIENTO VIDREADO Y DESMONTAJE DEL PANELAR, INCLUYE  CARGO DIRECTO POR EL COSTO DE MANO DE OBRA Y MATERIALES REQUERIDOS, FLETE A OBRA,  ACARREO, LIMPIEZA Y RETIRO DE SOBRANTES FUERA DE OBRA, HASTA 20 KM.</t>
  </si>
  <si>
    <t>MATERIAL Y MANO DE OBRA PARA LA INSTALACION DE BASTIDOR DE ALUMININIO PARA RECIBIR DUELA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</si>
  <si>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COLOCACION DE DUELA DE ALUMINIO NATURAL LISO SELLADO CON SILION CLARO Y FIJADO CON REMACHE EN MUROS DE CANCELERIA DE 0.85 DE ALTURA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</si>
  <si>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RETIRO DE  POLARIZADO DAÑADO Y LIMPIEZA DE CRISTALES A BASES DE AGUA Y JABON,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</si>
  <si>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COLOCACION POLARIZADO TIPO ESMERILADO EN CRISTALES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</si>
  <si>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COLOCACION POLARIZADO TIPO BLACK OUT EN CRISTALES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</si>
  <si>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COLOCACION POLARIZADO TIPO ESPEJO EN CRISTALES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</si>
  <si>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CLOSET DE CANCELERIA DE ALUMINIO NATURAL DE 3", INCLUYE PUERTAS CORREDIZAS DE DUELA DE ALUMINIO Y CHAPA CON LLAVE, ENTREPAÑOS DE DUELA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</si>
  <si>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APERTURA DE HUECO PARA PUERTA EN MURO DE LADRILLO, CONSISTIENDO EN DEMOLICION DE MURO DE LADRILLO POR MEDIO MANUAL Y MECANICO, ACEARREO DE PRODUCTO DE LA DEMOLICION AL AREA TEMPORAL DENTRO DE LAS INSTALACIONES DEL IMSS, PERFILADO DE MURO CON CEMENTO Y ACABADO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</si>
  <si>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APERTURA DE HUECO PARA PUERTA EN MURO DE VITRIBLOCK, CONSISTIENDO EN DEMOLICION DE MURO DE VITRO BLOCK POR MEDIO MANUAL Y MECANICO, ACEARREO DE PRODUCTO DE LA DEMOLICION AL AREA TEMPORAL DENTRO DE LAS INSTALACIONES DEL IMSS, PERFILADO DE MURO CON CEMENTO Y ACABADO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</si>
  <si>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FABRICACION Y COLOCACION DE PERCHERO DE ALUMINIO CON GANCHOS EN ACERO CROMADO, CONSISTIENDO EN FABRICACION DE PERCHERO CON BASTIDOR DE ALUMINIO NATURAL DE 0.5X0.20 MTS. CON 3 GANCHOS DE ACERO CROMADO, FIJADO CON PIJA Y TAQUETE, SELLADO CON SILICON.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</si>
  <si>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CEPTICO</t>
  </si>
  <si>
    <t>COMPUTADORAS</t>
  </si>
  <si>
    <t xml:space="preserve">FABRICACION Y COLOCACION DE REPISA DE ACERO INOXIDABLE FABRICADOS EN LAMINA DE AC INOXIDABLE C-18 T-304 2B  DE 0.50X0.30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</si>
  <si>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MODULO DE CENTRAL DE ENFERMERA CON TARJA EN LAMINA DE AC INOXIDABLE C-18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</si>
  <si>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040</t>
  </si>
  <si>
    <t xml:space="preserve">FABRICACION Y COLOCACION DE ESCRITORIO PARA COMPUTADORA CON REPISA SUPERIOR PARA IMPRESORA FABRICADOS EN LAMINA DE AC INOXIDABLE C-18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</si>
  <si>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041</t>
  </si>
  <si>
    <t>REPARACION DE PLAFON DE TABLAROCA EN TECHOS DE TABLAROCA CONSISTIENDO EN RESANE DE HUECOS Y GRIETAS, EN SU CASO RETIRO DE SUPERFICIE DAÑADA Y COLOCACION DE PLAFON NUEVO,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</si>
  <si>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DE PLAFON DE PLACAS DE 61X61 EN TECHOS DE TABLAROCA CONSISTIENDO EN RETIRO DE PLACA DAÑADA Y COLOCACION DE PLAFON NUEVO,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</si>
  <si>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DE PLAFON DE PLACAS DE 61X122 EN TECHOS DE TABLAROCA CONSISTIENDO EN RETIRO DE PLACA DAÑADA Y COLOCACION DE PLAFON NUEVO,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</si>
  <si>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PINTURA DE PLAFON CON PINTURA ANTIBACTERIANA ESMALTE BASE AGUA.COLOR BLANCO,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</si>
  <si>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PINTURA DE MURO CON PINTURA ANTIBACTERIANA ESMALTE BASE AGUA, COLOR ALMOND,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</si>
  <si>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RECUBRIMIENTO DE MURO CON PISO RECTIFICADO MARCA INTERCERAMIC PRIMERA CALIDAD, CONSISTIENDO EN COLOCACION DE PISO RECTIFICADO CON ADHESIVO PEGAVITRO, LOSETA RECTIFICADA MODELO VANTAGIO SUPER WHITE O SIMILAR Y SELLADO CON BOQUILLA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</si>
  <si>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COLOCACION ESQUINERO METALICO ACABADO ESPEJO PARA LOSETA, CONSISTIENDO EN COLOCACION DE ESQUINERO CON ADHESIVO PEGAVITRO, ELIMINACION DE FILOS EN ESQUINAS Y SELLADO CON BOQUILLA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</si>
  <si>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FABRICACION DE MARCO Y PUERTA DE CANCELERIA DE ALUMINIO NATURAL DE 3", INCLUYE BISAGRA, CHAPA CON LLAVE,   CUBIERTA CON DUELA DE ALUMINIO  Y SELLADO CON SILICON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</si>
  <si>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MARCO Y PUERTA DOBLE INFERIOR Y SUPERIOR DE CANCELERIA DE ALUMINIO NATURAL DE 3", INCLUYE BISAGRA, CHAPA CON LLAVE, CRISTAL DE 6mm. CUBIERTA CON DUELA DE ALUMINIO Y SELLADO CON SILICON ANTIHONG,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</si>
  <si>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LLAVE CUELLO DE GANZO CON SENSOR Y BATERIA MARCA HELVEX,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</si>
  <si>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MATERIAL Y MANO DE OBRA POR CAMBIO DE CHAPA CON LLAVE PARA PUERTA DE CANCELERIA DE ALUMINIO EXISTENTE,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</si>
  <si>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CAMBIO DE CRISTAL CLARO 6 MM EN PUERTA DE CANCELERIA DE ALUMINIO EXISTENTE,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</si>
  <si>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CAMBIO DE CRISTAL CLARO 3 MM EN PUERTA DE VITRINA EXISTENTE,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</si>
  <si>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SUSTITUCION DE LUMINARIA YD222, CONSISTIENDO EN RETIRO DE LUMINARIA EXISTENTE,  COLOCACION DE LUMINARIA LED NUEVA 18 WATTS,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</si>
  <si>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MANTENIMIENTO DE LUMINARIA 2X32 WATTS CONSISTENTE EN LIMPIEZA, REPOSICION DE LAMPARA DE 32 WATTS, BALASTRO 2X32WATTS, CABLES Y APAGADOR EN CASO DE SER NECEARIO. INCLUYE: CARGO DIRECTO POR EL COSTO DE SMANO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</si>
  <si>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MANTENIMIENTO DE LUMINARIA 3X14 WATTS CONSISTENTE EN LIMPIEZA, REPOSICION DE LAMPARA DE 14 WATTS, BALASTRO 3X14WATTS, CABLES Y APAGADOR EN CASO DE SER NECEARIO. INCLUYE: CARGO DIRECTO POR EL COSTO DE SMANO DE OBRA Y MATERIALES REQUERIDOS, FLETE A OBRA,  ACARREO, TRAZO, NIVELACIÓN, EMPOTRADO, LIMPIEZA Y RETIRO DE SOBRANTES FUERA DE OBRA, EQUIPO DE SEGURIDAD, INSTALACIONES ESPECIFICAS, DEPRECIACIÓN Y DEMÁS CARGOS  DERIVADOS DEL USO DE EQUIPO Y HERRAMIENTA, EN CUALQUIER NIVEL. </t>
  </si>
  <si>
    <t>MATERIAL Y MANO DE OBRA POR INSTALACION DE CONTACTO ROJO DUPLEX DE 20 AMPERS SENCILLO, CONSISTIENDO INSTALACION DE TUBERIA CONDUT 1/2 FLEXIBLE, CAJA 4X4 CON SOBRETAPA, CONDUCTORES CALIBE 10 AWG, CONTACTO DOBLE POLARIAZADO CON TIERRA AISLADA Y TAPA NARANJA CON LEYENDA DE EMERGENCIA,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</si>
  <si>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ISUSTITUCION DE CONTACTO ROJO DUPLEX DE 20 AMPERS SENCILLO, CONSISTIENDO RETIRO DE CONTACTO EXISTENTE, REVISION DE CONDUCTORES CON REMPLAZO EN CASO DE SER NECESARIO, INSTALACION DE CONTACTO DOBLE POLARIAZADO CON TIERRA AISLADA Y TAPA NARANJA CON LEYENDA DE EMERGENCIA NUEVO,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</si>
  <si>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SUMINISTRO Y COLOCACION DE  HUMEDECEDOR CON FRASCO ARAMED,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</si>
  <si>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FLUJOMETRO DOBLE PARA OXIGENO ARAMED,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</si>
  <si>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ADITAMENTOS DOBLES PARA AIRE ARAMED,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</si>
  <si>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TROMBAS DE SUCCION ARAMED,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</si>
  <si>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RIELES PORTA SUEROS,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</si>
  <si>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MANTENIMIENTO DE LUMINARIA 3X26 WATTS CONSISTENTE EN LIMPIEZA, REPOSICION DE LAMPARA DE 26 WATTS, BALASTRO 3X26WATTS, CABLES Y APAGADOR EN CASO DE SER NECEARIO. INCLUYE: CARGO DIRECTO POR EL COSTO DE SMANO DE OBRA Y MATERIALES REQUERIDOS, FLETE A OBRA,  ACARREO, TRAZO, NIVELACIÓN, EMPOTRADO, LIMPIEZA Y RETIRO DE SOBRANTES FUERA DE OBRA, EQUIPO DE SEGURIDAD, INSTALACIONES ESPECIFICAS, DEPRECIACIÓN Y DEMÁS CARGOS  DERIVADOS DEL USO DE EQUIPO Y HERRAMIENTA, EN CUALQUIER NIVEL. </t>
  </si>
  <si>
    <t>025 SUMINISTRO Y COLOCACION DE APAGADOR Y TAPAS,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</si>
  <si>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031 SERVICIO DE TOMAS DE OXIGENO Y AIRE MEDICINAL, CONSISTIENDO EN LIMPIEZA Y CAMBIO DE KIT DE REPARACION, TAPAS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</si>
  <si>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DESMANTELADO DE PUERTA DE MADERA Y MARCO METALICO.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</si>
  <si>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012 FABRICACION Y COLOCACION DE MESA TIPO ESCRITORIO DE ACERO INOXIDABLE FABRICADOS EN LAMINA DE AC INOXIDABLE C-18 T-304 2B DE 0.70X1.15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</si>
  <si>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014 FABRICACION Y COLOCACION DE MESA DE ACERO INOXIDABLE FABRICADOS EN LAMINA DE ACERO INOXIDABLE C-18 T-304 2B DE 2.20X0.70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</si>
  <si>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015 FABRICACION Y COLOCACION DE PORTA SUEROS DE ACERO INOXIDABLE FABRICADOS EN VARILLA DE 1/4" DE ACERO INOXIDABLE T-304,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</si>
  <si>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PORTA SUEROS DE ACERO INOXIDABLE FABRICADOS EN VARILLA DE 1/4" DE ACERO INOXIDABLE T-304,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</si>
  <si>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016 FABRICACION Y COLOCACION DE CANASTILLAS PARA FRASCO DE SUCCION DE ACERO INOXIDABLE FABRICADOS EN VARILLA DE 1/4" DE ACERO INOXIDABLE T-304,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</si>
  <si>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CANASTILLAS PARA FRASCO DE SUCCION DE ACERO INOXIDABLE FABRICADOS EN VARILLA DE 1/4" DE ACERO INOXIDABLE T-304,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</si>
  <si>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MARCO Y PUERTA PARA  REGISTRIO DE VALVULAS, DE CANCELERIA DE ALUMINIO NATURAL DE 1", INCLUYE BISAGRA, CUBIERTA CON DUELA DE ALUMINIO  Y SELLADO CON SILICON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</si>
  <si>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017 FABRICACION DE LOKER DE CANCELERIA DE ALUMINIO NATURAL CON PERFIL DE 1 1/2X3/4" CON CERCO 2", BISAGRA TIPO PIANO Y DUELA DE ALUMINIO, CHAPAS  CON LLAVE DE 200X40X30 CM. CON CINCO MODULOS,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</si>
  <si>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LOCKER DE CANCELERIA DE ALUMINIO NATURAL CON PERFIL DE 1 1/2X3/4" CON CERCO 2", BISAGRA TIPO PIANO Y DUELA DE ALUMINIO, CHAPAS  CON LLAVE DE 200X40X30 CM. CON CINCO MODULOS,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</si>
  <si>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030 SUMINISTRO Y APLICACION DE PINTURA ESMALTE EN MARCOS DE PUERTA DE HERRERIA,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</si>
  <si>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MARCOS DE PUERTA DE HERRERIA,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</si>
  <si>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032 SUMINISTRO Y APLICACION DE PINTURA ESMALTE EN NEGATOSCOPIOS,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</si>
  <si>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033 SUMINISTRO Y APLICACION DE PINTURA ESMALTE EN CAMAS,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</si>
  <si>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034 SUMINISTRO Y APLICACION DE PINTURA ESMALTE EN TRIPIES,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</si>
  <si>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035 SUMINISTRO Y APLICACION DE PINTURA ESMALTE EN VITRINA DE 0.75X.60X.20,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</si>
  <si>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036 SUMINISTRO Y APLICACION DE PINTURA ESMALTE EN ESTANTE METALICO DE 0.84X1.09X45,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</si>
  <si>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037 SUMINISTRO Y APLICACION DE PINTURA ESMALTE BASE AGUA EN PLAFONES,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</si>
  <si>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REHABILITACION DE TERMOCUNA CONSISTIENDO EN LIJADO Y TODO MATERIAL NECESARIO PARA LA APLICACION DE PINTURA ESMALTE, SUSTITUCION DE CONTROL DE TEMPERATURA Y SENSOR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</si>
  <si>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COLOCACION DE LAVAMANOS CON PEDESTAL COLOR BLANCO INCLUYE RETIRO DE LAVAMANOS EXISTENTE, LIMPIEZA, COLOCACION DE LAVAMANOS NUEVO , CEPOL, MANGUERA ALIMENTADORA,Y TODO MATERIAL NECESARIO PARA SU CORRECTA INSTALACION,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</si>
  <si>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COLOCACION DE LLAVE  AHORRADORA DE AGUA TIPO PUSH PARA LAVAMANOS,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</si>
  <si>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MANTENIMIENTO A WC, CONSISTIENDO EN CAMBIO DE CUALLO DE CERA, FIJADO A PISO CON CEMENTO BLANCO,  MANGUERA ALIMENTADORA,Y TODO MATERIAL NECESARIO PARA SU CORRECTA INSTALACION,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</si>
  <si>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DESMANTELAMIENTO DE LAVACOMODOS, CONSISTIENDO EN RETIRO DE DE LAVACOMODOS, SELLADO DE TUBERIAS DE DRENAJE, SUMINISTRO DE AGUA, VAPOR Y COLOCACION DE AZULEJO EN MURO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</si>
  <si>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RACK DE COMODOS,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</si>
  <si>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ELABORACION DE MUROS DE TABLAROCA, CONSISTIENDO EN PLAFON DE TABLAROCA CON METAL DESPLEGDO, SELLADO CON PREFACINTA Y REDIMIX,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</si>
  <si>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</si>
  <si>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</si>
  <si>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</si>
  <si>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</si>
  <si>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</si>
  <si>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</si>
  <si>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</si>
  <si>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</si>
  <si>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</si>
  <si>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</si>
  <si>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</si>
  <si>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</si>
  <si>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</si>
  <si>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</si>
  <si>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</si>
  <si>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</si>
  <si>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</si>
  <si>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</si>
  <si>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</si>
  <si>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</si>
  <si>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</si>
  <si>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</si>
  <si>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</si>
  <si>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</si>
  <si>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</si>
  <si>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</si>
  <si>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</si>
  <si>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</si>
  <si>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</si>
  <si>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</si>
  <si>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</si>
  <si>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</si>
  <si>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</si>
  <si>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</si>
  <si>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ELABORACION Y RETIRO DE TAPIAL PROVISIONAL DE TABLAROCA, CONSISTIENDO EN PLAFON DE TABLAROCA CON METAL DESPLEGDO,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</si>
  <si>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076</t>
  </si>
  <si>
    <t>PREPARACION DE LA SUPERFICIE EN MUROS PARA COLOCACION DE RODAPIE, CONSISTIENDO EN PICADO DE MUROS Y APLICXACION DE POLIMOR PARA MEJOR ADHERENCIA,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</si>
  <si>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DESMANTELADO DE MUEBLE A BASE MADERA CON RECUBRIMIENTO DE FORMICA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</si>
  <si>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077</t>
  </si>
  <si>
    <t>078</t>
  </si>
  <si>
    <t xml:space="preserve">MATERIAL Y MANO DE OBRA PARA LA INSTALACION DE CANCELERIA DE ALUMINIO NATURAL 3" CON CRISTAL ESMERILADO NOVO DE 6 mm..,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</si>
  <si>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MARCO Y PUERTA DE CANCELERIA DE ALUMINIO NATURAL DE 3" CON CRISTAL ESMERILADO NOVO 6MM, INCLUYE BISAGRA, CHAPA CON LLAVE,  CIERRAPUERTA,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</si>
  <si>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MARCO Y PUERTA DE CANCELERIA DE ALUMINIO NATURAL DE 3", INCLUYE BISAGRA, CHAPA CON LLAVE,   CUBIERTA CON DUELA DE ALUMINIO PARTE INFERIOR Y CRISTAL CLARO 6 MM. PARTE SUPERIOR CON SELLADO DE DUELA CON SILICON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</si>
  <si>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MARCO Y PUERTA PARA TABLERO DE ALUMBRADO Y REGISTRO DE DATOS, DE CANCELERIA DE ALUMINIO NATURAL DE 1", INCLUYE BISAGRA,  CUBIERTA CON DUELA DE ALUMINIO  Y SELLADO CON SILICON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</si>
  <si>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MATERIAL Y MANO DE OBRA POR CAMBIO DE CRISTAL CLARO 6 MM EN PUERTA DE GABINETE CONTRA INCENDIO EXISTENTE,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</si>
  <si>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079</t>
  </si>
  <si>
    <t>080</t>
  </si>
  <si>
    <t>081</t>
  </si>
  <si>
    <t xml:space="preserve">021 FABRICACION Y COLOCACION DE CAJON DOBLE DE ACERO INOXIDABLE FABRICADOS EN LAMINA DE AC INOXIDABLE C-18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</si>
  <si>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REVESTIMIENTO DE MOSTRADOR CON LAMINA DE AC INOXIDABLE C-20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</si>
  <si>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082</t>
  </si>
  <si>
    <t>083</t>
  </si>
  <si>
    <t>084</t>
  </si>
  <si>
    <t>085</t>
  </si>
  <si>
    <t>086</t>
  </si>
  <si>
    <r>
      <t>FABRICACION Y COLOCACION DE CARRO PORTA DOCUMENTOS MOBIL SENCILLO DE ACERO INOXIDABLE FABRICADOS EN LAMINA DE ACERO INOXIDABLE C-18 T-304 2B</t>
    </r>
    <r>
      <rPr>
        <sz val="8"/>
        <rFont val="Arial"/>
        <family val="2"/>
      </rPr>
      <t xml:space="preserv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r>
  </si>
  <si>
    <r>
      <t>FABRICACION Y COLOCACION DE CARRO PORTA DOCUMENTOS MOBIL DOBLE DE ACERO INOXIDABLE FABRICADOS EN LAMINA DE ACERO INOXIDABLE C-18 T-304 2B DE</t>
    </r>
    <r>
      <rPr>
        <sz val="8"/>
        <rFont val="Arial"/>
        <family val="2"/>
      </rPr>
      <t xml:space="preserv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r>
  </si>
  <si>
    <t xml:space="preserve">FABRICACION Y COLOCACION DE ENTREPAÑO DE ACERO INOXIDABLE FABRICADOS EN LAMINA DE AC INOXIDABLE C-18 T-304 2B  DE 1.75X0.30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</si>
  <si>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ENTREPAÑO DE ACERO INOXIDABLE FABRICADOS EN LAMINA DE AC INOXIDABLE C-18 T-304 2B  DE 2.16X0.30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</si>
  <si>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ESTANTE DE ACERO INOXIDABLE FABRICADOS EN LAMINA DE AC INOXIDABLE C-18 T-304 2B  DE 1.86X0.65X0.23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</si>
  <si>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CAJON DOBLE DE ACERO INOXIDABLE FABRICADOS EN LAMINA DE AC INOXIDABLE C-18 T-304 2B.DE 0.46X0.35X0.25 MTS.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</si>
  <si>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ENTREPAÑO DE ACERO INOXIDABLE FABRICADOS EN LAMINA DE AC INOXIDABLE C-18 T-304 2B  DE 1.0X0.30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</si>
  <si>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ESTANTERIA EN U DE CANCELERIA DE ALUMINIO NATURAL DE 1", CONSISTIENDO EN SOPORTES CON  ENTREPAÑOS DE DUELA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</si>
  <si>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ESTANTERIA EN L DE CANCELERIA DE ALUMINIO NATURAL DE 1",CON PUERTAS DE CRISTAL Y CHAPA CON LLAVE, ENTREPAÑOS DE DUELA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</si>
  <si>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087</t>
  </si>
  <si>
    <t>088</t>
  </si>
  <si>
    <t>089</t>
  </si>
  <si>
    <t>090</t>
  </si>
  <si>
    <t>FABRICACION Y COLOCACION TUBO DE PROTECCION DE CAMILLAS EN VITROBLOCK FABRICADO EN TUBO DE 2" EN ACERO INOXIDABLE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</si>
  <si>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091</t>
  </si>
  <si>
    <t xml:space="preserve">SUMINISTRO Y COLOCACION DE PASADOR PARA PUERTA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</si>
  <si>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E INSTALACION DE ESQUINEROS DE ALUMINIO DE PROTECCION DE COLUMNAS,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</si>
  <si>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E INSTALACION DUELA DE ALUMINIO PARA DE PROTECCION DE MUROS,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</si>
  <si>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OBRA CIVIL E INSTALACIONES HGR No. 1 AREA TOCOCIRUGIA</t>
  </si>
  <si>
    <t>OBRA CIVIL E INSTALACIONES HGR No. 1 AREA DE TOCOCIRUGIA</t>
  </si>
  <si>
    <t>12 DE ENERO DE 2016</t>
  </si>
  <si>
    <t>001 PREPARACION DE PLAFONES CONSISTIENDO EN RESANE DE PLAFON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</si>
  <si>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002 REPARACION DE MUROS DE MATERIAL VIDRIADO CONSISTIENDO EN RESANE DE ORIFICIOS, CAMBIO DE PIEZASDAÑADA DE AZULEJO DE 20X20 CM.  Y PERFILADO DE ESQUINAS CON CEMENTO BLANCO,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</si>
  <si>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003 SUMINISTRO Y COLOCACION DE AZULEJO 20X20 CM., CONSISTIENDO EN RETIRO DE AZULEJO DAÑADO PREPARACION DE MURO PARA RECIBIR AZULEJO NUEVO, COLOCACION DE AZULEJO DE 20X20 CM, CON PEGA VITRO Y BOQUILLA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</si>
  <si>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004 DESMANTELADO DE MURO DE VITROBLOCK POR MEDIO MANUAL Y MECANICO CON REHILETE PARA CORTE DE VARILLAS Y RESANE DE PISO CON CEMENTO BLANCO,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</si>
  <si>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005 SUMINISTRO Y COLOCACION DE PISO CERAMICO 30X30 CM., CONSISTIENDO EN RETIRO DE PISO DAÑADO PREPARACION PARA RECIBIR PISO NUEVO, COLOCACION DE PISO DE 30X30 CM, CON PEGA VITRO Y BOQUILLA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</si>
  <si>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PZA</t>
  </si>
  <si>
    <t>006 DESMANTELADO DE PLAFON EN MURO A BASE MADERA CON RECUBRIMIENTO DE FORMICA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</si>
  <si>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007  RETIRO DE DESECHOS PRODUCTO DEL DESMONTAJE DEL PANELAR, INCLUYE  CARGO DIRECTO POR EL COSTO DE MANO DE OBRA Y MATERIALES REQUERIDOS, FLETE A OBRA,  ACARREO, LIMPIEZA Y RETIRO DE SOBRANTES FUERA DE OBRA, HASTA 20 KM.</t>
  </si>
  <si>
    <t xml:space="preserve">008 MATERIAL Y MANO DE OBRA PARA LA INSTALACION TRANSFER DE PACIENT,E DE CANCELERIA DE ALUMINIO NATURAL 3" CON CON BASTIDOR PARA RECIBIR DUELA A DOBLE CARA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</si>
  <si>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009 MATERIAL Y MANO DE OBRA PARA LA INSTALACION  PUERTA EN TRANSFER DE PACIENT,E DE CANCELERIA DE ALUMINIO NATURAL 3" CON CON BASTIDOR PARA RECIBIR DUELA A DOBLE CARA DE ALUMINIO, BISAGRA TIPO CANTINA Y PASADOR,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</si>
  <si>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010 MATERIAL Y MANO DE OBRA PARA LA INSTALACION DE BASTIDOR DE ALUMININIO PARA RECIBIR DUELA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</si>
  <si>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011 COLOCACION DE DUELA DE ALUMINIO NATURAL LISO SELLADO CON SILION CLARO Y FIJADO CON REMACHE EN MUROS DE CANCELERIA DE 1.82 M DE ALTURA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</si>
  <si>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012 FABRICACION DE PUERTA DE CANCELERIA DE ALUMINIO NATURAL DE 3", INCLUYE BISAGRA, CHAPA CON LLAVE Y DUELA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</si>
  <si>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013 FABRICACION DE PUERTA DE CANCELERIA DE ALUMINIO NATURAL CON PERFIL DE 1 1/2X3/4" CON BISAGRA TIPO PIANO Y DUELA DE ALUMINIO PARA REGISTROS Y CENTROS DE CARGA,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</si>
  <si>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013 FABRICACION DE PUERTA DE CANCELERIA DE ALUMINIO NATURAL CON PERFIL DE 1 1/2X3/4" CON CERCO 2", CRISTAL 4mm., BISAGRA TIPO PIANO Y DUELA DE ALUMINIO PARA REGISTROS Y CENTROS DE CARGA,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</si>
  <si>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015 INSTALACION DE ESQUINEROS DE ALUMINIO DE PROTECCION DE COLUMNAS,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</si>
  <si>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016 FABRICACION DE MUEBLE DE CANCELERIA DE ALUMINIO NATURAL CON PERFIL DE 1 1/2X3/4" CON CERCO DE 2" Y  DUELA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</si>
  <si>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018 FABRICACION Y COLOCACION DE ESTANTE DE ACERO INOXIDABLE FABRICADOS EN LAMINA DE AC INOXIDABLE C-18 T-304 2B DE 1.80X0.60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</si>
  <si>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019 FABRICACION BASE, COLOCACION Y PULIDO DE TARJA DE ACERO INOXIDABLE CON ESCURRIDERO,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</si>
  <si>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020 FABRICACION Y COLOCACION DE MESAS DE TRABAJO DE ACERO INOXIDABLE FABRICADOS EN LAMINA DE AC INOXIDABLE C-18 T-304 2B, DE 150X 60X84 CM.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</si>
  <si>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022 FABRICACION Y COLOCACION DE CAJON SENCILLO DE ACERO INOXIDABLE FABRICADOS EN LAMINA DE AC INOXIDABLE C-18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</si>
  <si>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023 FABRICACION Y COLOCACION DE  REPISA DE ACERO INOXIDABLE FABRICADOS EN LAMINA DE AC INOXIDABLE C-18 T-304 2B.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</si>
  <si>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024 PULIDO  DE REJILLAS DE INYECCION Y RETORNO DE ACERO INOXIDABLE.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</si>
  <si>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025 PULIDO  DE CONSOLA CELITICA  DE ACERO INOXIDABLE.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</si>
  <si>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026 PULIDO  DE TAPAS DE TABLEROS ELECTRICOS   DE ACERO INOXIDABLE.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</si>
  <si>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027 MATERIAL Y MANO DE OBRA POR SUSTITUCION DE LUMINARIA YD222, CONSISTIENDO EN APERTURA DE HUECO EN PLAFON,  COLOCACION DE LUMINARIA NUEVA TIPO LED 12 WATTS,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</si>
  <si>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028 MATERIAL Y MANO DE OBRA EN SUSTITUCION DE ACRILICO NUEVO DE 0.29 x 1.15 M HASTA 0.45x 1.21 M EN LAMPARAS EXISTENTES,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</si>
  <si>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029 SUMINISTRO Y COLOCACION DE TAPAS DE APAGADOR Y CONTACTOS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</si>
  <si>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031 SUMINISTRO Y APLICACION DE PINTURA ESMALTE EN REJILLAS DE RETORNO E INYECCION,   INCLUYE REHABILITACION, LIJADO Y TODO MATERIAL NECESARIO,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</si>
  <si>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038 FABRICACION Y COLOCACION DE  PUERTA DE ACERO INOXIDABLE PARA QUIROFANO CON BISAGRA HIDRAULICA Y MIRILLA DE CRISTAL CLARO DE 6 MM.  DE 30X30 CM. FABRICADOS EN LAMINA DE AC INOXIDABLE C-20 T-304 2B CON REFUERZOS DE PERFIL DE ACERO INOXIDABLE CAL. 18..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</si>
  <si>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039 LIMPIEZA Y SELLADO DE MURO DE CANTERA POR MEDIO MECANICO, CONSISTIENDO EN DESBASTE DE CANTERA MEDIANTE USO DE REHILETE Y LIJA, SELLANDO CON PRODUCTO QUIMICO ANTIHONGO.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</si>
  <si>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040 LIMPIEZA DE PISO DE PIEDRA LAVADA POR MEDIO MECANICO, CONSISTIENDO EN LAVADO CON HIDROLAVADORA AGUA Y JABON DE PISO DE PIEDRA LAVADA.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</si>
  <si>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OBRA CIVIL E INSTALACIONES DEL EDIFICIO SINDICAL</t>
  </si>
  <si>
    <t>001 PREPARACION DE LA SUPERFICIE PARA IMPERMEABILIZACION, CONSISTIENDO EN RETIRO DE BASURA Y OBJETOS AJENOS AL AREA, , RETIRO DE TECATAS POR MEDIO MANUAL, BARRIDO DE SUPERFICIE, SELLADO DE GRIETAS CON CEMENTO PLASTICO, APLICACION DE SELLADOR EN TODA EL AREA,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</si>
  <si>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002 APLICACION DE IMPERMEABILIZANTE TERMOTEK CALIDAD 3 AÑOS CON MALLA DE REFUERZO,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</si>
  <si>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003  RETIRO DE DESECHOS PRODUCTO DEL DESMONTAJE TECATAS, INCLUYE  CARGO DIRECTO POR EL COSTO DE MANO DE OBRA Y MATERIALES REQUERIDOS, FLETE A OBRA,  ACARREO, LIMPIEZA Y RETIRO DE SOBRANTES FUERA DE OBRA, HASTA 20 KM.</t>
  </si>
  <si>
    <t>004 PREPARACION DE LA SUPERFICIE CONSISTIENDO EN RESANE DE MUROS Y PERFILADO DE ESQUINAS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</si>
  <si>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006 APLICACION DE PINTURA VINILICA CALIDAD 7 AÑOS, A DOS MANOS EN MUROS HASTA 4 MTS. DE ALTURA,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</si>
  <si>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007 MATERIAL Y MANO DE OBRA POR FABRICACION MURO DE TABLACEMENTO A DOS CARAS DE 9 CM. DE ESPESOR CON APLICACION DE CEMEBON EN MURO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</si>
  <si>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007 REPARACION  Y NIVELACION  DE PLAFON RETICULAR DE PLACAS DE 61X122 CM. CONSISITENDO EN SUMINISTRO Y REMMPLAZO DE ESTRUCTURA TEE PARA SOPORTE DE PLACAS, INIVELACION DE TIRANTES DE SUJECION,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</si>
  <si>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008 CAMBIO DE PLACAS DE PLAFON RETICULAR DE  61X1.22 CM. CONSISITENDO EN SUMINISTRO Y REMMPLAZO DE PLACAS DE FIBRA DE 61X61 CM.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</si>
  <si>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PZAS.</t>
  </si>
  <si>
    <t>008 CAMBIO DE PLACAS DE PLAFON RETICULAR DE  61X61 CM. CONSISITENDO EN SUMINISTRO Y REMMPLAZO DE PLACAS DE FIBRA DE 61X61 CM.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</si>
  <si>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011  REPARACION DE FALLA DE LUMINARIO FLUORECENTE 4X32 WATTS,  INCLUYE LIMPIEZA, CAMBIO DE LAMPARAS 32 WATTS. DOS BALASTRO 2X32 W., ACRILICO, REVISION DE CONEXIONES Y REMPLAZO DE CABLES ALIMENTADORES EN CASO DE QUE SE REQUIERA, PARA OPERAR EN UN SISTEMA 110V, 1F. 60 Hz.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7 LUMINARIOS  TIPO POSTE DE UNA LAMPARA TIPO SUBURBANA DE 250 W, VAPOR DE SODIO.</t>
  </si>
  <si>
    <t>001 MATERIAL Y MANO DE OBRA POR FABRICACION DE CORTINA ENROLLABLE DE MODELO GREENSOFT COLOR BONE,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</si>
  <si>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002 MATERIAL Y MANO DE OBRA POR FABRICACION DE CORTINA ENROLLABLE, MODELO BLACK OUT MONTREAL, COLOR BEIGE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</si>
  <si>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003 MATERIAL Y MANO DE OBRA POR FABRICACION DE CORTINA ENROLLABLE SHEER ELEGANCE MODELO DUO NATURAL KAKY,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</si>
  <si>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004 MATERIAL Y MANO DE OBRA POR FABRICACION E INSTALACION DE PROTECCION HERREERIA EN VENTANAS Y PUERTA, A BASE DE VARILLA CUADRADA DE 1/2", CON APLICACION DE FONDO ESTRUCTURAL.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</si>
  <si>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005 APLICACION DE PINTURA ESMALTE SECADO RAPIDO, EN PROTECCION DE VENTANA,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</si>
  <si>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OBRA CIVIL E INSTALACIONES HGR No. 1 CUARTO DE ENCAMADOS</t>
  </si>
  <si>
    <t>15 DE ENERO-2016</t>
  </si>
  <si>
    <t>001 DESMANTELADO DE VENTANAS DE CANCELERIA DE ALUMINIO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</si>
  <si>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002 DEMOLICION DE PLAFON DE YESO CON METAL DESPLEGADO CONSISTIENDO DEMOLICION DEL YESO EN FORMA MANUAL CON MARRO Y CINCEL, CORTE CON REILETE DEL METAL  DESPLEGADO,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</si>
  <si>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003 PREPARACION DE LA SUPERFICIE CONSISTIENDO EN RESANE DE MUROS Y PERFILADO DE ESQUINAS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</si>
  <si>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004  RETIRO DE DESECHOS PRODUCTO DE DEMOLICION DE PLAFON DE YESO CON METAL DESPLEGADO, INCLUYE  CARGO DIRECTO POR EL COSTO DE MANO DE OBRA Y MATERIALES REQUERIDOS, FLETE A OBRA,  ACARREO, LIMPIEZA Y RETIRO DE SOBRANTES FUERA DE OBRA, HASTA 20 KM.</t>
  </si>
  <si>
    <t>005 SUMINSTRO Y COLOCACION DE PLAFON RETICULAR DE PLACAS DE 61X61 CM. CONSISITENDO EN SUMINISTRO Y COLOCACION DE ESTRUCTURA TEE PARA SOPORTE DE PLACAS, INSTALACION DE TIRANTES DE SUJECION, COLOCACION DE PLACAS DE YESO CON ACABADO LISO DE 61X61 CM.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</si>
  <si>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006 INSTALACION DE ESQUINEROS DE ALUMINIO DE PROTECCION DE COLUMNAS,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</si>
  <si>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007 MATERIAL Y MANO DE OBRA PINTURA DE MUROS CON PINTURA VINILICA BASE AGUA AQUACOLOR ANTIBACTERIANA.,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</si>
  <si>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007 MATERIAL Y MANO DE OBRA PINTURA DE ZOCLO HASTA 0.10 CM CON PINTURA ESMALTE NEGRO,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</si>
  <si>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008 FABRICACION DE PUERTA DE CANCELERIA DE ALUMINIO NATURAL DE 3" DE 2.05X1.19 MTS., INCLUYE BISAGRA TIPO BIBEL, CHAPA CON LLAVE, CRISTAL DE 6mm. Y DUELA DE ALUMINIO EN PARTE INFERIOR,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</si>
  <si>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009 FABRICACION DE VENTANA DE CANCELERIA DE ALUMINIO NATURAL DE 3" DE 2.30X1.19 MTS., INCLUYE, CHAPA DE SEGURIDAD CON LLAVE, VIDRIO DE CONTROL SOLAR SOL-LITE VERDE DE 6mm. Y ANTEPECHO DE DUELA DE ALUMINIO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</si>
  <si>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010 FABRICACION DE PROTECCION MURO CONTRA GOLPES DE CAMILLAS CON DUELA DE ALUMINIO NATURAL, CONSISTIENDO EN COLOCACION DE DUELA FIJADA CON CINTA DOBLECARA 3M, SELLADO CON SILICON ANTIBACTERIAL,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</si>
  <si>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ML.</t>
  </si>
  <si>
    <t xml:space="preserve">011 FABRICACION Y COLOCACION DE REPISA DE ACERO INOXIDABLE FABRICADOS EN LAMINA DE AC INOXIDABLE C-18 T-304 2B DE 0.30X0.40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</si>
  <si>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012 FABRICACION Y COLOCACION DE MESA RODANTE PARA TOMA DE ALIMENTOS EN ACERO INOXIDABLE FABRICADOS EN LAMINA DE AC INOXIDABLE C-18 T-304 2B DE 0.70X1.15 MTS. RUEDAS REFORZADA DE 2",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</si>
  <si>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017 REABILITACION DE CONSOLAS DE CABECERAS DE 0.14X2.68 MTS. CONSISTIENDO EN RETIRO DE VISTAS DE MADERA  CON FORMAICA VERDE, LIMPIEZA CON PRODUCTO QUIMICO Y COLOCACION DE VISTA EN LAMINA DE ACERO INOXIDABLE  C-18 T-304 2B,  CAMBIO DE APAGADOR, CAMBIO DE LAMPARAS Y BALASTRO DE 1X14 WATTS.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</si>
  <si>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019 MATERIAL Y MANO DE OBRA POR SUSTITUCION DE LUMINARIA LED EMPOTRABLES, CONSISTIENDO EN APERTURA DE HUECO EN PLAFON,  COLOCACION DE LUMINARIA NUEVA 12 WATTS, INSTALACION DE TUBERIA Y CONDUCTORES ELECTRICOS,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</si>
  <si>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020 MATERIAL Y MANO DE OBRA POR SUSTITUCION DE LUMINARIA FLUORECENTE DE 13 WATTS TIPO VELADORA EN MURO, CONSISTIENDO EN CAMBIO DE CONDUCTORES ALIMENTADORES, SOQUET, LAMPARA Y ACRILICO PRISMATICO, EMPOTRADO EN MURO,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</si>
  <si>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021 MATERIAL Y MANO DE OBRA POR REPARACION DE TUBERIA DE DRENAJE SANITARIO CONSISTIENDO EN RETIRO DE TUBERIA FOFO DAÑADA, COLOCACION DE TUBERIA PVC HIDRAULICO DE 4", CON COPLES DE REPARACION DE POLIURETANO CON ABRAZADERAS SINFIN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</si>
  <si>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MTS</t>
  </si>
  <si>
    <t>022 MATERIAL Y MANO DE OBRA POR REPARACION DE TUBERIA DE DRENAJE PLUVIAL CONSISTIENDO EN RETIRO DE TUBERIA FOFO DAÑADA, COLOCACION DE TUBERIA PVC HIDRAULICO DE 2", CON COPLES DE REPARACION DE POLIURETANO CON ABRAZADERAS SINFIN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</si>
  <si>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023 MATERIAL Y MANO DE OBRA POR MANTENIMIENTO DE COLADERA Y PISO DE MARQUESINA CONSISTIENDO EN LIMPIEZA, RESANE DE GRIETAS CON CEMENTO PLASTICO, APLICACION DE IMPERMEABILIZANTE FIBRATADO GARANTIA 3 AÑOS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</si>
  <si>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Z INDUSTRIAL DE CULIACAN SA. DE C.V</t>
  </si>
  <si>
    <t>FCO ZARCO 403-B, COLONIA ANTONIO ROSALES</t>
  </si>
  <si>
    <t>RFC: ZIC-990125-3S9</t>
  </si>
  <si>
    <t>CAMBIO DE SUBESTACION DE 225 KVA, IMSS EL DORADO</t>
  </si>
  <si>
    <t>ING.ANA ARJONA</t>
  </si>
  <si>
    <t>ING. MIGUEL ANGEL RIOS ROMAN</t>
  </si>
  <si>
    <t>IMSS EL DORADO</t>
  </si>
  <si>
    <t>17-ENERO-2016</t>
  </si>
  <si>
    <t xml:space="preserve">001 SUMINISTRO E INSTALACION DE SUBESTACION TIPO POSTE, CONSISTIENDO EN SUMINISTRO E INSTALACION DE DOS POSTES DE CONCRETO DE 12 MTS. PARRILLA Y HERAJES DE FIJACION, TRANSFORMADOR DE 225 KVA 13,200- 220/127 VCA. 3 FASES, CUCHILLAS CON FUSIBLE TIPO LISTON, AISLADORES, APARTARRAYOS,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</si>
  <si>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002 RETIRO DE SUBESTACION EXISTENTE CONSISTIENDO EN DESMONTAJE Y RETIRO DE TRANSFORMADOR, HERRAJES DE SOPORTE, AISLADORES, CUCHILLAS, APARTARRAYOS,  POSTES DE CONCRETO MEDIANTE USO DE GRUA PARA MANIOBRAS.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</si>
  <si>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003 INSTALACION RED DE ALIMENTADORES EN MEDIA TENCION DESDE RED PRIMARIA DE CFE EN CALLE, HASTA  SUBESTACION EN POSTE, CONSISTIENDO EN RETIRO DE RED EXISTENTE Y COLOCACION DE AISLADORES, CABLE DE ALUMINIO ACCR 1/0 Y CONEXIONES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</si>
  <si>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MTS.</t>
  </si>
  <si>
    <t xml:space="preserve">004 CAMBIO DE EQUIPO DE MEDICION Y ALIMENTADOR SECUNDARIO, CONSISTIENDO EN INSTALACION DE ACOMETIDA AEREA CON TUBO GALVANIZADO DE 4" CABLE 3/0 AWG, INTERRUPTOR PRINCIPAL DE 3 POLOS 600 AMP. BASE Y REGISTRO DE MEDICION Y CONEXION DE ALIMENTADORES EXISTENTES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</si>
  <si>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OBRA CIVIL E INSTALACIONES HGR No. 1 BAÑO CUNEROS  </t>
  </si>
  <si>
    <t>19 DE ENERO-2016</t>
  </si>
  <si>
    <t>006 SUMINISTRO E INSTALACION DE WC CONSISTIENDO EN COLOCACION DE JUNTAS CUELLO DE CERA, WC FIJADO CON PASTA DE CEMENTO BLANCO, COLOCACION DE HERRAJES SANITARIOS, LLAVE DE CONTROL Y  MANGUERA ALIMENTADORA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</si>
  <si>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OBRA CIVIL E INSTALACIONES HGR No. 1 AREA DE RX</t>
  </si>
  <si>
    <t>OBRA CIVIL</t>
  </si>
  <si>
    <t>UMF 35</t>
  </si>
  <si>
    <t>OBRA CIVIL E INSTALACIONES HGR No. 1 AREA DE RX Y BANCO DE SANGRE</t>
  </si>
  <si>
    <t>14-DICIEMBRE-2015</t>
  </si>
  <si>
    <t>DEMOLICION DE  MURO DE TABIQUE CON APLANADO CEMENTO ARENA, POR MEDIO MECANICO (DEMOLEDOR),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DEMOLICION DEMURO DE TABIQUE CO APLANADO CEMENTO ARENA.</t>
  </si>
  <si>
    <t>RETIRO DE ESCOMBRO, INCLUYE  CARGO DIRECTO POR EL COSTO DE MANO DE OBRA Y MATERIALES REQUERIDOS, FLETE A OBRA,  ACARREO, LIMPIEZA Y RETIRO DE SOBRANTES FUERA DE OBRA, HASTA 20 KM.</t>
  </si>
  <si>
    <t>DESMANTELAMIENTO DE ELEMENTOS ELECTRICOS CONSISTIENDO EN 2 REGISTROS METALICOS, DUCTO CUADRADO DE 4",  TUBERIA GALVANIZADA DE 3", CABLEADO CAL. 4.  INCLUYE: CARGO DIRECTO POR EL COSTO DE MANO DE OBRA, ACARREO, LIMPIEZA Y RETIRO DE SOBRANTES FUERA DE OBRA, EQUIPO DE SEGURIDAD, INSTALACIONES ESPECIFICAS, DEPRECIACIÓN Y DEMÁS CARGOS  DERIVADOS DEL USO DE EQUIPO Y HERRAMIENTA, EN CUALQUIER NIVEL.</t>
  </si>
  <si>
    <t>FABRICACION DE FIRME DE CONCRETO F'C=200 KG/CM2 ARMADO CON MALLA LAC, SORE FIRME EXISTENTE. INCLUYE CARGO DIRECTO DE LOS MATERIALES Y MANO DE OBRA QUE INTERVENGAN, DESPERDICIO, ACARREO, TRAZO, CIMBRA COMUN Y DESCIMBRA, ADHESIVO PARA CONCRETO, PEGAVITRO Y DEMAS DERIVADOS DEL USO DE HERRAMIENTAS PARA SU CORRECTA CONSTRUCCION. FABRICACION DE FIRMED DE CONCRETO F'C= 200 KG/CM2 SOBRE FIRME EXISTENTE.</t>
  </si>
  <si>
    <t>RECUBRIMIENTO DE AZULEJO DE 0.20 x 0.30 M  EN MUROS, INCLUYE PREPARACION DE LA SUPERFICIE, ASENTADO CON PEGAZULEJO Y BOQUILLA ANTIHONGO, CARGO DIRECTO POR EL COSTO DE MANO DE OBRA Y MATERIALES REQUERIDOS, FLETE A OBRA,  ACARREO,, LIMPIEZA Y RETIRO DE SOBRANTES FUERA DE OBRA, EQUIPO DE SEGURIDAD, INSTALACIONES ESPECIFICAS, DEPRECIACIÓN Y DEMÁS CARGOS  DERIVADOS DEL USO DE EQUIPO Y HERRAMIENTA, EN CUALQUIER NIVEL.  RECUBRIMIENTO DE AZULEJO EN MURO.</t>
  </si>
  <si>
    <t>008 PREPARACION DE LA SUPERFICIE CONSISTIENDO EN RESANE DE PLAFONES DE YESO CON METAL DESPLEGADO, CONSISTIENDO EN DEMOLICIN DE AREA DAÑADA O SUELTA Y RESANE CON YESO,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</si>
  <si>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 MATERIAL Y MANO DE OBRA POR APLICACION DE PINTURA A DOS MANOS DE  TECHO CON PINTURA VINILICA BLANCA CALIDAD 4 AÑOS, HASTA UNA ALTURA DE 3 MTS.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APLICACION DE PINTURA A DOS MANOS DE PAREDES Y TECHO.</t>
  </si>
  <si>
    <t xml:space="preserve">MATERIAL Y MANO DE OBRA POR FABRICACION DE CAJILLO  DE TABLAROCA  DE 0.50 x 1.50 x 0.50 M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CAJILLO DE TABLAROCA. </t>
  </si>
  <si>
    <t>MATERIAL Y MANO DE OBRA POR FABRICACION MURO DE TABLACEMENTO A DOS CARAS DE 9 CM. DE ESPESOR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MURO DE TABLACEMENTO A DOS CARAS DE 10 CM. DE ESPESOR.</t>
  </si>
  <si>
    <t>SUMINISTRO Y APLICACION DE CEMENBON EN  MURO DE TABLACEMENTO EN LAS DOS CARAS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APLICACION DE CEMENBON DE TABLACEMENTO EN LAS DOS CARAS.</t>
  </si>
  <si>
    <t>SUMINISTRO Y COLOCACION DE TUBERIA PVC HIDRAULICO DE 4" DE DIAMETRO.  INCLUYE CODOS, CONEXIONES Y ABRAZADERAS DE NEUPRENO.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SUMINISTRO Y COLOCACION DE TUBERIA PVC HIDRAULICO DE 4" DE DIAMETRO.</t>
  </si>
  <si>
    <t>SUMINISTRO Y COLOCACION DE TUBERIA PVC HIDRAULICO DE 2" DE DIAMETRO.  INCLUYE CODOS, CONEXIONES Y ABRAZADERAS DE NEUPRENO.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SUMINISTRO Y COLOCACION DE TUBERIA PVC HIDRAULICO DE 2" DE DIAMETRO.</t>
  </si>
  <si>
    <t>CIERRE DE HUECO  CON CONCRETO PARA PASO DE INSTALACIONES DE TUBERIAS HIDRAULICAS Y DRENAJE, EN LOSAS ARMADAS DE 15 CM DE ESPESOR. EN AREAS  NO MAYORESS DE 0.16 M2. INCLUYE CARGO DIRECTO DE LOS MATERIALES Y MANO DE OBRA QUE INTERVENGAN, DESPERDICIO, ACARREO, TRAZO, CIMBRA COMUN Y DESCIMBRA, ADHESIVO PARA CONCRETO, PEGAVITRO Y DEMAS DERIVADOS DEL USO DE HERRAMIENTAS PARA SU CORRECTA CONSTRUCCION. CIERRE DE HUECO CON CONCRETO EN LOSA.</t>
  </si>
  <si>
    <t xml:space="preserve">SUMINISTRO Y COLOCACION DE MEZCLADORA DE AGUA CUELLO DE GANSO.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</si>
  <si>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LAVABO DE PEDESTAL,  VALVULA ANGULAR DE 1/2", MANGUERA HIDRAULICA TIPO "Y", CESPOL Y TODO ACCESORIO NECESARIO PARA SU CORRECTO FUNCIONAMIENTO.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</si>
  <si>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Y COLOCACION DE WC CON TANQUE DE AGUA, CON BRIDA FLEXIBLE DE 4", VALVULA ANGULAR DE 1/2", MANGUERA HIDRAULICA Y TODO ACCESORIO NECESARIO PARA SU CORRECTO FUNCIONAMIENTO..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</si>
  <si>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008 PREPARACION DE LA SUPERFICIE PARA COLOCACION DE LOSETA VINILICA, CONSISTIENDO EN RETIRO DE LOSETA DAÑADA Y LIMPIEZA DE AREA CON PRODUCTO QUIMICO,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</si>
  <si>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008 SUMINISTRO Y COLOCACION DE LOSETA VINILICA DE 30X30 CMM. CONSISTIENDO EN COLOCACION Y PEGADO DE LOSETA VINILICA CON ADHESIVO PARA LOSETA,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</si>
  <si>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001 PREPARACION DE LA SUPERFICIE CONSISTIENDO EN RESANE DE MUROS, PLAFONES Y PERFILADO DE ESQUINAS CON YESO, COLOCACION DE AZULEJO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</si>
  <si>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002 DESMANTELADO DE  MURO A BASE MADERA CON RECUBRIMIENTO DE FORMICA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</si>
  <si>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003 REPARACION DE PLAFON DE TABLAROCA EN TECHOS CONSISTIENDO CIERRE DE HUECOS EN PLAFON,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</si>
  <si>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004 INSTALACION DE ESQUINEROS DE ALUMINIO DE PROTECCION DE COLUMNAS,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</si>
  <si>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005  RETIRO DE DESECHOS PRODUCTO DEL DESMONTAJE DEL PANELAR, INCLUYE  CARGO DIRECTO POR EL COSTO DE MANO DE OBRA Y MATERIALES REQUERIDOS, FLETE A OBRA,  ACARREO, LIMPIEZA Y RETIRO DE SOBRANTES FUERA DE OBRA, HASTA 20 KM.</t>
  </si>
  <si>
    <t>006 MATERIAL Y MANO DE OBRA PINTURA DE PLAFON CON PINTURA VINILICA.,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</si>
  <si>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007 MATERIAL Y MANO DE OBRA PARA LA INSTALACION DE BASTIDOR DE ALUMININIO PARA RECIBIR DUELA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</si>
  <si>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008 COLOCACION DE DUELA DE ALUMINIO NATURAL LISO SELLADO CON SILION CLARO Y FIJADO CON REMACHE EN MUROS DE CANCELERIA DE 0.85 DE ALTURA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</si>
  <si>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009 COLOCACION POLARIZADO TIPO ESMERILADO EN CRISTALES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</si>
  <si>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010 FABRICACION Y COLOCACION DE PORTA PLACAS DE RX DE ACERO INOXIDABLE FABRICADOS EN LAMINA DE AC INOXIDABLE C-18 T-304 2B DE 0.30X0.40 MTS. FIJADO EN MURO CON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</si>
  <si>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011 FABRICACION Y COLOCACION DE REPISA DE ACERO INOXIDABLE FABRICADOS EN LAMINA DE AC INOXIDABLE C-18 T-304 2B DE 0.32X0.50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</si>
  <si>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013 FABRICACION Y COLOCACION DE MESA PORTA IMPRESORA DE ACERO INOXIDABLE FABRICADOS EN LAMINA DE AC INOXIDABLE C-18 T-304 2B DE 0560X055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</si>
  <si>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017 REABILITACION DE CONSOLAS DE CABECERAS DE 0.14X2.68 MTS. CONSISTIENDO EN RETIRO DE VISTAS DE MADERA  CON FORMAICA VERDE, LIMPIEZA CON PRODUCTO QUIMICO Y COLOCACION DE VISTA EN LAMINA DE ACERO INOXIDABLE  C-18 T-304 2B,  CAMBIO DE APAGADOR Y CONTACTO DOBLE POLARIZADO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</si>
  <si>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018 FABRICACION Y COLOCACION DE TARJA DE ACERO INOXIDABLE CON ESCURRIDERO CON TAPA DE TUBERIAS,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</si>
  <si>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019 FABRICACION Y COLOCACION DE TARJA  DE ACERO INOXIDABLE,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</si>
  <si>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020 SUMINISTRO Y COLOCACION DE LLAVE CUELLO DE GANZO CON SENSOR Y BATERIA MARCA HELVEX,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</si>
  <si>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021 SUMINISTRO Y COLOCACION DE LLAVE CUELLO DE GANZO,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</si>
  <si>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022 SUMINISTRO Y COLOCACION DE DESPACHADORA DE JABON CON SENSOR Y BATERIA MARCA HELVEX,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</si>
  <si>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023 SUMINISTRO Y COLOCACION DE DESPACHADORA DE GEL DESINFECTANTE CON SENSOR Y BATERIA,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</si>
  <si>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024 SUMINISTRO Y COLOCACION DE CENTRO DE CARGA DE 30 CTOS, CON INTERRUPTOR PRINCIPAL DE 3POLOS 70 AMP. 20 INTERRUPTORES DE 1 POLO 20 AMP.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</si>
  <si>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025 MATERIAL Y MANO DE OBRA POR SUSTITUCION DE LUMINARIA LED EMPOTRABLES, CONSISTIENDO EN APERTURA DE HUECO EN PLAFON,  COLOCACION DE LUMINARIA NUEVA 25 WATTS,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</si>
  <si>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026 MATERIAL Y MANO DE OBRA POR SUSTITUCION DE LUMINARIA LED CIRCULAR EMPOTRABLES, CONSISTIENDO EN APERTURA DE HUECO EN PLAFON,  COLOCACION DE LUMINARIA NUEVA 12 WATTS,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</si>
  <si>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027 MATERIAL Y MANO DE OBRA POR REPARACION DE  LUMINARIA FLUORECENTE 4X32 W, CONSISTIENDO EN SUSTITUCION DE BALASTRO ,  4X32 W. COLOCACION DE CUATRO LAMPARAS FLUORECENTE DE 32 WATTS,  CAMBIO DE ACRILICO PRISMATICO,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</si>
  <si>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028 MATERIAL Y MANO DE OBRA POR REPARACION DE  LUMINARIA FLUORECENTE 2X59 W, CONSISTIENDO EN SUSTITUCION DE BALASTRO ,  2X59 W. COLOCACION DE DOS LAMPARA FLUORECENTE DE 59 WATTS, REPARACION DE CABLEADO EN CASO DE SER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</si>
  <si>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029 MANTENIMIENTO DE LUMINARIA CONSISTENTE EN LIMPIEZA, REPOSICION DE LAMPARA DE 26 WATTS, CABLES Y APAGADOR EN CASO DE SER NECEARIO. INCLUYE: CARGO DIRECTO POR EL COSTO DE SMANO DE OBRA Y MATERIALES REQUERIDOS, FLETE A OBRA,  ACARREO, TRAZO, NIVELACIÓN, EMPOTRADO, LIMPIEZA Y RETIRO DE SOBRANTES FUERA DE OBRA, EQUIPO DE SEGURIDAD, INSTALACIONES ESPECIFICAS, DEPRECIACIÓN Y DEMÁS CARGOS  DERIVADOS DEL USO DE EQUIPO Y HERRAMIENTA, EN CUALQUIER NIVEL. MANTENIMIENTO DE LUMINARIA CONSISTENTE EN LIMPIEZA, REPOSICION DE LAMPARA DE 13 WATTS, CABLES Y APAGADOR EN CASO DE SER NECESARIO.</t>
  </si>
  <si>
    <t>030 MATERIAL Y MANO DE OBRA POR INSTALACION DE COTACTO ROJO DUPLEX DE 20 AMPERS SENCILLO, CONSISTIENDO INSTALACION DE TUBERIA CONDUT GALVANIZADA 3/4 S/R, CONDUCTORES CALIBE 10 AWG, CAJA FS, CONTACTO DOBLE POLARIAZADO CON TIERRA AISLADA, TAPA NARANJA,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</si>
  <si>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033 FABRICACION Y COLOCACION DE PERCHERO DE ALUMINIO CON GANCHOS EN ACERO CROMADO, CONSISTIENDO EN FABRICACION DE PERCHERO CON BASTIDOR DE ALUMINIO NATURAL DE 1.59X0.20 MTS. CON 14 GANCHOS DE ACERO CROMADO, FIJADO CON PIJA Y TAQUETE, SELLADO CON SILICON.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</si>
  <si>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034 FABRICACION Y COLOCACION DE PERCHERO DE ALUMINIO CON GANCHOS EN ACERO CROMADO, CONSISTIENDO EN FABRICACION DE PERCHERO CON BASTIDOR DE ALUMINIO NATURAL DE 0.60X0.20 MTS. CON 4 GANCHOS DE ACERO CROMADO, FIJADO CON PIJA Y TAQUETE, SELLADO CON SILICON.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</si>
  <si>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OBRA CIVIL E INSTALACIONES HGR No. 1 AREA DE TERAPIA</t>
  </si>
  <si>
    <t>OBRA ELECTRICA EDIFICIO SUBDELEGACION</t>
  </si>
  <si>
    <t>ING. ANA ARJONA</t>
  </si>
  <si>
    <t>19-ENERO-2016</t>
  </si>
  <si>
    <t>SALIDA DE CONTACTO NORMAL MARCA LEVITON.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CONTACTO LEVITON DE 20 AMP. TAPA, TUBERIA GALVANIZADA PARED DELGADA, CAJA GALVANIZADA 4X4", COPLES, CONECTORES, CONDUCTORES ELECTRICOS DE CAPACIDAD ADECUADA, FIJACION Y CONEXIONES.</t>
  </si>
  <si>
    <t>SALIDA DE CONTACTO REGULADO NARANJA TIERA AISLADA MARCA LEVITON. 1F, 4H,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CONTACTO NARANJA TIERRA AISLADA MARCA LEVITON DE 20 AMP., TAPA, TUBERIA GALVANIZADA PARED DELGADA, CAJA GALVANIZADA 4X4", COPLES, CONECTORES, CONDUCTORES ELECTRICOS DE CAPACIDAD ADECUADA, FIJACION Y CONEXIONES.</t>
  </si>
  <si>
    <t>SALIDA DE ALUMBRADO DE NORMAL MARCA BTICINO MODELO EVOLUTION.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SALIDA DE ALUMBRADO HASTA TRES APAGADORES MARCA BTICINO MODELO EVOLUTION, TAPA, TUBERIA GALVANIZADA PARED DELGADA, CAJA GALVANIZADA 4X4", COPLES, CONECTORES, CONDUCTORES ELECTRICOS DE CAPACIDAD ADECUADA, FIJACION Y CONEXIONES.</t>
  </si>
  <si>
    <t>SALIDA DE CIRCUITO CONTRA INCENDIO CONSISITENDO EN INSTALACION DE CANALIZACION CON TUBERIA CONDUIT PARED DELGADA, COPLES Y CONEXIONES, SOPORTES DE FIJACION EN LOSA Y MURO, CAJA 4X4 CON ADAPTADOR 2X4 E INSTALACION DEL CONDUCTOR DE SEÑAL,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SALIDA DE CIRCUITO CONTRA INCENDIO CONSISITENDO EN INSTALACION DE CANALIZACION CON TUBERIA CONDUIT PARED DELGADA, COPLES Y CONEXIONES, SOPORTES DE FIJACION EN LOSA Y MURO, CAJA 4X4 CON ADAPTADOR 2X4 E INSTALACION DEL CONDUCTOR DE SEÑAL,</t>
  </si>
  <si>
    <t>LUMINARIO EMPOTRAR DE NORMAL 61X61 CM. MARCA TECNOLITE MODELO LTL-3142,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LUMINARIO SOBREPONER DE NORMAL 60X60 CM. MARCA TECNOLITE MODELO LTL-3142/65, 3x14WATTS, 6500 k</t>
  </si>
  <si>
    <t>LUMINARIO SOBREPONER DE NORMAL 61X61 CM. MARCA TECNOLITE MODELO LTL-328.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LUMINARIO SOBREPONER DE NORMAL 60X60 CM. MARCA TECNOLITE MODELO LTL-3142/65, 3x28WATTS, 6500 k</t>
  </si>
  <si>
    <t>LUMINARIO SOBREPONER DE NORMAL TIPO, MURO MARCA TECNOLITE. DE 13 WATTS,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LUMINARIO SOBREPONER DE NORMAL TIPO, MURO MARCA TECNOLITE. DE 13 WATTS, 1F, 3H, 110 VCA.</t>
  </si>
  <si>
    <t>LUMINARIO SOBREPONER DE NORMAL TIPO WALLPACK  MARCA HL. DE 250 WATTS, 1F, 3H, 220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LUMINARIO SOBREPONER DE NORMAL TIPO WALLPACK  MARCA HL. DE 250 WATTS, 1F, 3H, 220 VCA.,</t>
  </si>
  <si>
    <t>16 SALIDA DE ALIMENTADOR PARA UNIDAD EXTRACTOR DE AIRE, 1F, 3H, 220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SSALIDA DE ALIMENTADOR PARA UNIDAD EXTRACTOR DE AIRE, 1F, 3H, 220 VCA.,, TUBERIA GALVANIZADA PARED DELGADA, SECCIONADOR, COPLES, CONECTORES, CONDUCTORES ELECTRICOS DE CAPACIDAD ADECUADA, FIJACION Y CONEXIONES.</t>
  </si>
  <si>
    <t>13 LAMPARA DE EMERGENCIA TIPO LED, SOBREPONER EN MURO  MARCA VOLTECH MODELO EXLAE-300. 1F, 3H, 110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LUMINARIO SOBREPONER EN MURO DE NORMAL. MARCA TECNOLITE MODELO ES-4002/F, 40WATTS, 4100 k</t>
  </si>
  <si>
    <t>15 SALIDA DE ALIMENTADOR PARA UNIDAD DE PAQUETE DE AIRE ACONDICIONADO. 3F, 4H, 220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SALIDA DE ALIMENTADOR PARA UNIDAD DE PAQUETE. 3F, 4H, 220 VCA, TUBERIA GALVANIZADA PARED DELGADA, SECCIONADOR, COPLES, CONECTORES, CONDUCTORES ELECTRICOS DE CAPACIDAD ADECUADA, FIJACION Y CONEXIONES.</t>
  </si>
  <si>
    <t>16 SALIDA DE ALIMENTADOR PARA UNIDAD MINISPLIT DE AIRE ACONDICIONADO, 1F, 3H, 220 VCA.,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SALIDA DE ALIMENTADOR PARA UNIDAD DE PAQUETE. 3F, 4H, 220 VCA, TUBERIA GALVANIZADA PARED DELGADA, SECCIONADOR, COPLES, CONECTORES, CONDUCTORES ELECTRICOS DE CAPACIDAD ADECUADA, FIJACION Y CONEXIONES.</t>
  </si>
  <si>
    <t>17 UNIDAD COMPACTO DE MEDICION EN 15 KV, PARA SUBESTACION DE 500 KVA, DE ACUERDO A NORMAS DE CFE. CONSISTIENDO EN SUMINISTRO E INSTALACION DE UNIDAD COMPACTO DE MEDICION EN POSTE, HERRAJES DE FIJACION, TERMINALES QT3 PARA 15 KV, MANIOBRAS DE GRUA, APORTACION A CFE, OR CONCEPTO DE CONTRATO, INCLUYE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UNIDAD COMPACTO DE MEDICION EN 15 KV, PARA SUBESTACION DE 500 KVA</t>
  </si>
  <si>
    <t>18 UNIDAD DE VERIFICACION, INCLUYE ELABORACION DE PLANOS, DIAGRAMA UNIFILAR E IDENTIFICACION DE CIRCUITOS ELECTRICOS., INCLUYE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UNIDAD DE VERIFICACION,</t>
  </si>
  <si>
    <t xml:space="preserve">INSTLACION DE TOMAS DE OXIGENO Y AIRE MEDICINAL, CONSISTIENDO EN LIMPIEZA RANURADO DE MURO, INSTALACION DE TUEBERIA DE COBRE, INSTALACION DE CAZUELA Y BASE PARA TOMA SOLADO DE PIEZAS CON SOLDADURA DE VARILLA DE PLATA, INSTALACION DE SALIDA PARA OXIGENO Y AIRE GRADO MEDICO CON SU TAPA.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</si>
  <si>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SERVICIO DE TOMAS DE OXIGENO, VACIO Y AIRE MEDICINAL, CONSISTIENDO EN LIMPIEZA Y CAMBIO DE KIT DE REPARACION, ALINEACION DE TOMA, LIMPIEZA EN SU CASO REPARACION DE FUGAS CON SOLDADURA DE PLATAY COLOCACION DE TAPAS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</si>
  <si>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REPARACION  Y APLICACION DE PINTURA ESMALTE EN CAMA DE DEL AREA DE CHOQUE,  CONSISTIENDO REHABILITACION, CAMBIO DE HULES DE PEDALES,  MANTENIMIENTO AL SISTEMA DE POSICIONAMIENTO, LIJADO, LAVADO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</si>
  <si>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Y APLICACION DE PINTURA ESMALTE EN CAMA DE TERAPIA INTERMEDIA,  CONSISTIENDO REHABILITACION, CAMBIO DE PANELES DE MADERA, REPARACION DE LLANTAS, MANTENIMIENTO AL SISTEMA DE POSICIONAMIENTO, LIJADO, LAVADO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</si>
  <si>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Y APLICACION DE PINTURA ESMALTE EN MESA DE EXPLORACION DE PRIMER CONTACTO,  CONSISTIENDO REHABILITACION, LIJADO, LAVADO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</si>
  <si>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REPARACION  Y APLICACION DE PINTURA ESMALTE EN CAMA DE DEL AREA DE VENOCLISIS,  CONSISTIENDO REHABILITACION, LIJADO, LAVADO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</si>
  <si>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SOPORTE PARA MONITOR,   INCLUYE REHABILITACION, LIJADO Y TODO MATERIAL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</si>
  <si>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BASCULA DE URGENCIAS PEDIATRICAS,   INCLUYE REHABILITACION DE GENERAL, LIJADO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</si>
  <si>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NEGATOSCOPIOS,   INCLUYE REHABILITACION DE SISTEMA ELECTRICO, LIJADO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</si>
  <si>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VITRINA DEL AREA DE CENDIS,   INCLUYE REHABILITACION, LIJADO Y PINTADO CON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</si>
  <si>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TRIPIE PORTA SUEROS,   INCLUYE REHABILITACION, LIJADO  Y PINTADO CON PINTURA ESMALTE COLOR SOLICITADO POR EL IMSS.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</si>
  <si>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CARRITOS POTAMEDICAMENTO,   INCLUYE REHABILITACION, LIJADO Y TODO MATERIAL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</si>
  <si>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APLICACION DE PINTURA ESMALTE EN GABINETES DEL AREA DE YESOS,   INCLUYE REHABILITACION, LIJADO Y TODO MATERIAL NECESARIO,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</si>
  <si>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092</t>
  </si>
  <si>
    <t>093</t>
  </si>
  <si>
    <t>094</t>
  </si>
  <si>
    <t>095</t>
  </si>
  <si>
    <t>096</t>
  </si>
  <si>
    <t>097</t>
  </si>
  <si>
    <t>098</t>
  </si>
  <si>
    <t xml:space="preserve">MATERIAL Y MANO DE OBRA PARA LA INSTALACION DE CANCELERIA DE ALUMINIO NATURAL 2" CON FIJO DE CRISTAL 6 MM. EN LA PARTE SUPERIOR Y VENTANA CORREDIZA CON CRISTAL CLARO 6 MM.,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</si>
  <si>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MATERIAL Y MANO DE OBRA PARA LA INSTALACION DE VENTANILLA DE MOSTRADOR DE URGENCIAS CANCELERIA DE ALUMINIO NATURAL 2" CON FIJO DE CRISTAL 6 MM. EN LA PARTE SUPERIOR Y VENTANA CORREDIZA CON CRISTAL CLARO 6 MM.,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</si>
  <si>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099</t>
  </si>
  <si>
    <t>100</t>
  </si>
  <si>
    <t>009 CAMBIO DE PLACAS DE PLAFON RETICULAR DE  61X61 CM. CONSISITENDO EN SUMINISTRO Y REMMPLAZO DE PLACAS DE YESO DE 61X61 CM.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</si>
  <si>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010  REPARACION DE FALLA DE LUMINARIO FLUORECENTE 2X32 WATTS,  INCLUYE LIMPIEZA, CAMBIO DE LAMPARAS 32 WATTS. BALASTRO 2X32 W. REVISION DE CONEXIONES Y REMPLAZO DE CABLES ALIMENTADORES EN CASO DE QUE SE REQUIERA,  PARA OPERAR EN UN SISTEMA 110V, 1F. 60 Hz.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 </t>
  </si>
  <si>
    <t>016  REPARACION DE FALLA DE LUMINARIO FLUORECENTE 13 WATTS,  INCLUYE LIMPIEZA, CAMBIO DE LAMPARAS 13 WATTS. REVISION DE CONEXIONES Y REMPLAZO DE CABLES ALIMENTADORES EN CASO DE QUE SE REQUIERA, PARA OPERAR EN UN SISTEMA 110V, 1F. 60 Hz.  INCLUYE CARGO DIRECTO POR EL COSTO DE MANO DE OBRA Y MATERIALES REQUERIDOS, FLETE A OBRA,  ACARREO, TRAZO, EXCAVACION, NIVELACIÓN, EMPOTRADO, ENSAMBLADO, LIMPIEZA Y RETIRO DE SOBRANTES FUERA DE OBRA, EQUIPO DE SEGURIDAD, INSTALACIONES ESPECIFICAS, DEPRECIACIÓN Y DEMÁS CARGOS  DERIVADOS DEL USO DE EQUIPO Y HERRAMIENTA, EN CUALQUIER NIVEL.</t>
  </si>
  <si>
    <t>022 MATERIAL Y MANO DE OBRA POR COLOCACION DE FAN AND COILD DE 2 TR. TIPO MURO MARCA MCQUAY O SIMILAR, CONSISTIENDO EN APERTURA DE HUECO EN PLAFON, COLOCACION, TUBERIAS DE ALIMENTACION Y RETORNO, VALVULAS SECCIONADORAS COLOCACION Y SELLADO DE AISLANTE TERMICO, TUBERIAS DE PVC PARA DRENAJE DE CODENSADOS, CANALIZACION ELECTRICA, CABLES CONDUCTORES CAL. 12 AWG., Y CONEXIONES DE ACUERDO A NORMAS IMSS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</si>
  <si>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023 MATERIAL Y MANO DE OBRA POR CAMBIO DE PISO DE VINILICO 3 MM. TRAFICO PESADO, CONSISTIENDO EN RETIRO DE PISO EXISTENTE, Y COLOCACION DE PISO NUEVO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</si>
  <si>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DESMANTELAMIENTO DE BARANDAL DEDUELA DE MADERA. INCLÑUYE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</si>
  <si>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101</t>
  </si>
  <si>
    <t>102</t>
  </si>
  <si>
    <t>SUMINISTRO Y APLICACION DE PINTURA ESMALTE EN BARANDAL DE HERRERIA,  CONSISTIENDO EN LIJADO APLICACION DE PINTURA ESMALTE COLOR SOLICITADO POR EL IMSS,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</si>
  <si>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FABRICACION Y COLOCACION DE MESA DE MEDICAMENTOS MOBIL DE ACERO INOXIDABLE FABRICADOS EN LAMINA DE ACERO INOXIDABLE C-18 T-304 2B DE 0.50X0.40X0.80 MTS.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</si>
  <si>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MUEBLE TIPO ESCRITORIO DE .50 X .65 X .75 DE ALTURA CON ENTREPAÑO INFERIOR, FABRICADO EN LAMINA DE ACERO INOXIDABLE C-18 T-304 Y PATAS DE TUBO DE 11/2" C-18 Y NIVELADORES DE ALTURA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</si>
  <si>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PULIDO DE TARJA CON FABRICACION Y COLOCACION DE ESTRUCTURA CON ENTREPAÑO FABRICADO EN ACERO INOX C-18 T-304 PULIDO PATAS DE TUBO DE 1 1/2" C-18 T-304 Y NIVELADORES DE ALTURA PARA TARJA DE ACERO INOXIDABLE CON ESCURRIDERO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</si>
  <si>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MESA TIPO ESCRITORIO DE ACERO INOXIDABLE FABRICADO EN ACERO INOX C-18 T-304 PULIDO PATAS DE TUBO DE 1 1/2" C-18 T-304 Y NIVELADORES DE ALTURA DE 0.70X1.15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</si>
  <si>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MESA DE ACERO INOXIDABLEFABRICADO EN ACERO INOX C-18 T-304 PULIDO PATAS DE TUBO DE 1 1/2" C-18 T-304 Y NIVELADORES DE ALTURA DE 1.85X0.70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</si>
  <si>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MESA DE ACERO INOXIDABLE FABRICADO EN ACERO INOX C-18 T-304 PULIDO PATAS DE TUBO DE 1 1/2" C-18 T-304 Y NIVELADORES DE ALTURA DE 2.35X0.70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</si>
  <si>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REPISA PARA VITRINA DE ACERO INOXIDABLE FABRICADOS EN LAMINA DE AC INOXIDABLE C-18 T-304 2B  DE 0.905X0.0.45 MTS. FIJADO EN MURO CON TAQUETE Y PIJA,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</si>
  <si>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103</t>
  </si>
  <si>
    <t>104</t>
  </si>
  <si>
    <t xml:space="preserve">FABRICACION Y COLOCACION DE MESA DE ACERO CON BASE INTERMEDIA Y DOS SEPARADORES INOXIDABLE FABRICADO EN ACERO INOX C-18 T-304 PULIDO PATAS DE TUBO DE 1 1/2" C-18 T-304 Y NIVELADORES DE ALTURA DE 1.60X0.60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</si>
  <si>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ABRIR Y CERRAR HUECO EN LOZA DE CONCRETO ARMADO DE 15 CM. CONSISTIENDO EN PERFORACION DE LOZA POR MEDIO MECANICO Y ACABADO MANUAL CON MARRO Y CINCEL Y CERRADO CON MORTERO CEMENTO ARENA,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</si>
  <si>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INSTALACION DE DRENAJE PARA WC, LAVAMANOS Y TARJA DE SEPTICO, CONSISTIENDO EN INSTALACION DE TUBO PVC HIDRAULICO DE 4", CODOS Y CONEXIONES, CON REDUCCION A 2" PARA LAVAMANO Y TARJA DE SEPTICO,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</si>
  <si>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INSTALACION RED HIDRAULICA PARA WC, LAVAMANOS Y TARJA DE SEPTICO, CONSISTIENDO EN INSTALACION DE TUBO COBRE DE 1/2", CODOS Y CONEXIONES,  PARA WC, LAVAMANO Y TARJA DE SEPTICO CON LLAVES DE CONTROL EN LAVAMANOS Y WC,  LLAVE NARIZ EN SEPTICO,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</si>
  <si>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RETIRO DE DESECHOS PRODUCTO DE DEMOLICION DE APERTURA DE HUECOS EN LOSA, INCLUYE  CARGO DIRECTO POR EL COSTO DE MANO DE OBRA Y MATERIALES REQUERIDOS, FLETE A OBRA,  ACARREO, LIMPIEZA Y RETIRO DE SOBRANTES FUERA DE OBRA, HASTA 20 KM.</t>
  </si>
  <si>
    <t xml:space="preserve">MATERIAL Y MANO DE OBRA POR FABRICACION MURO DE TABLACEMENTO A DOS CARAS DE 9 CM. DE ESPESOR CON APLICACION DE CEMEBON EN MURO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</si>
  <si>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SUMINISTRO E INSTALACION DE LAVAMANOS CONSISTIENDO EN COLOCACION DE MENSULAS DE FIJACION CON TAQUETE Y TORNILLO, FIJADO DE PEDESTAL CON PASTA DE CEMENTO BLANCO, COLOCACION DE CESPOL FLEXIBLE, LLAVE DE CONTROL.   MANGUERA ALIMENTADORA Y LLAVE  PARA LAVABO SENCILLA Y CUBRETALADROS.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</si>
  <si>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E INSTALACION DE TARJA PARA SEPTICO CONSISTIENDO EN COLOCACION DE MENSULAS DE FIJACION CON TAQUETE Y TORNILLO, COLOCACION DE CESPOL FLEXIBLE, LLAVE DE CONTROL. MANGUERA ALIMENTADORA Y LLAVE  NARIZ Y CUBRETALADROS.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</si>
  <si>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CIERRE DE HUECO EN PLAFON DE YESO CONCISTIENDO EN DESMONTAJE DE LUMINARIO 2X32 WATTS. CIERRE DE HUECO DE 32X122 CM, CON PLACA DE TABLARROCA SELLADO CON PREFACINTA Y REDIMIX,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</si>
  <si>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MATERIAL Y MANO DE OBRA POR INSTALACION  DE LUMINARIA LED EMPOTRABLES, CONSISTIENDO EN APERTURA DE HUECO EN PLAFON,  COLOCACION DE LUMINARIA NUEVA 12 WATTS, INSTALACION DE TUBERIA Y CONDUCTORES ELECTRICOS,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</si>
  <si>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INSTALACION DE EXTRACTOR DE AIRE, CONSISTIENDO EN APERTURA DE HUECO EN PLAFON,  COLOCACION DE EXTRACTOR 110VCA,. TUBERIA PVC DE 4", CODOS Y CONEXIONES, REJILLA DE SALIDA DE AIRE, INSTALACION DE TUBERIA Y CONDUCTORES ELECTRICOS,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</si>
  <si>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FABRICACION DE PUERTA  MARCO Y FIJO DE CANCELERIA DE ALUMINIO NATURAL DE 3" DE 2.05X1.19 MTS., INCLUYE BISAGRA TIPO BIBEL, CHAPA CON LLAVE,  DUELA DE ALUMINIO EN PUERTA Y FIJOR,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</si>
  <si>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PUERTA ABATIBLE CON ACRILICO Y MARCO CANCELERIA DE ALUMINIO NATURAL DE 1" DE 0.57X0.63 MTS., INCLUYE BISAGRA TIPO BIBEL, CHAPA CON LLAVE,  DUELA DE ALUMINIO EN PUERTA Y FIJOR,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</si>
  <si>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PUERTA  MARCO Y FIJO DE CANCELERIA DE ALUMINIO NATURAL DE 3" DE 2.38X0.81 MTS., INCLUYE BISAGRA TIPO BIBEL, CHAPA CON LLAVE,  DUELA DE ALUMINIO EN PUERTA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</si>
  <si>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MATERIAL Y MANO DE OBRA POR CIERRE DE HUECO EN MURO DE TABLACEMENTO A DOS CARAS DE 9 CM. DE ESPESOR CON APLICACION DE CEMEBON EN MURO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</si>
  <si>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MATERIAL Y MANO DE OBRA PINTURA DE PLAFON CON PINTURA VINILICA BASE AGUA AQUACOLOR ANTIBACTERIANA.,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</si>
  <si>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PINTURA DE MUROS CON PINTURA VINILICA BASE AGUA AQUACOLOR ANTIBACTERIANA.,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</si>
  <si>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 xml:space="preserve">FABRICACION DE CUBICULO DE CANCELERIA DE ALUMINIO NATURAL DE 3" DE 2.05X1.19 MTS., CONSISTEINDO EN FABRICACION DE MUROS DE CANCELERIA DE ALUMINIO CON DUELA DE ALUMINIO EN LA PARTE INFERIOR Y CRISTAL CLARO 6 MM.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</si>
  <si>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DE PUERTA DE CANCELERIA DE ALUMINIO NATURAL DE 3" DE 2.05X1.19 MTS., INCLUYE BISAGRA TIPO BIBEL, CHAPA CON LLAVE, CRISTAL DE 6mm. Y DUELA DE ALUMINIO EN PARTE INFERIOR,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</si>
  <si>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COLOCACION DE TARJA  DE ACERO INOXIDABLE, CONSISTIENDO EN CAMBIO DE UBICACION DE TARJA Y DRENAJES,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</si>
  <si>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SUMINISTRO E INSTALACION DE MINISPLIT PISO TECHO DE 3 TR,,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</si>
  <si>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MESA TIPO ESCRITORIO DE ACERO INOXIDABLE FABRICADO EN ACERO INOX C-18 T-304 PULIDO PATAS DE TUBO DE 1 1/2" C-18 T-304 Y NIVELADORES DE ALTURA DE 0.80X0.50X0.88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</si>
  <si>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 xml:space="preserve">FABRICACION Y COLOCACION DE MESA TIPO ESCRITORIO DE ACERO INOXIDABLE FABRICADO EN ACERO INOX C-18 T-304 PULIDO PATAS DE TUBO DE 1 1/2" C-18 T-304 Y NIVELADORES DE ALTURA DE 0.60X1.15X0.88 MTS. ,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t>
  </si>
  <si>
    <t>OBRA CIVIL E INSTALACIONES HGR No. 1 PASILLOS Y BAÑOS DEL 4o PISO</t>
  </si>
  <si>
    <t>MANTENIMIENTO A WC, CONSISTIENDO EN CAMBIO DE CUELLO DE CERA, FIJADO A PISO CON CEMENTO BLANCO,  MANGUERA ALIMENTADORA,Y TODO MATERIAL NECESARIO PARA SU CORRECTA INSTALACION,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</si>
  <si>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CAMBIO DE COLADERA CONSISTIENDO EN DESMONTAJE DE COLADERA EXISTENTE, APERTURA DEL HUECO EN PISO,  MONTAJE DE COLADERA NUEVA, FIJADO A PISO CON CONTRETO CEMENTO ARENA, INSTALACION DE TUBERIA , COMNEXIONES Y TODO MATERIAL NECESARIO PARA SU CORRECTA INSTALACION,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</si>
  <si>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PINTURA DE CENEFA CON PINTURA ANTIBACTERIANA ESMALTE BASE AGUA, COLOR VERDE,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</si>
  <si>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PINTURA DE ZOCLO CON PINTURA  ESMALTE, COLOR NEGRO,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</si>
  <si>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OBRA CIVIL E INSTALACIONES HGR No. 1 AREA DE URGENCIAS</t>
  </si>
  <si>
    <t>OBRA CIVIL E INSTALACIONES HGR No. 1 BAÑO UCIN</t>
  </si>
  <si>
    <t>OBRA CIVIL E INSTALACIONES DEL EDIFICIO DE LA SUBDELEGACION</t>
  </si>
  <si>
    <t>INSTALACION RED HIDRAULICA PARA WC Y LAVAMANOS  CONSISTIENDO EN INSTALACION DE TUBO COBRE DE 1/2", CODOS Y CONEXIONES,  PARA WC, LAVAMANO CON LLAVES DE CONTROL EN LAVAMANOS Y WC,  LLAVE NARIZ EN SEPTICO,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</si>
  <si>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MATERIAL Y MANO DE OBRA POR APLICACION DE PINTURA A DOS MANOS DE CENEFA  CON PINTURA VINILICA VERDE CALIDAD 4 AÑOS, HASTA UNA ALTURA DE 3 MTS.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APLICACION DE PINTURA A DOS MANOS DE PAREDES Y TECHO.</t>
  </si>
  <si>
    <t>MATERIAL Y MANO DE OBRA POR APLICACION DE PINTURA A DOS MANOS DE PAREDES  CON PINTURA VINILICA BEIGE CALIDAD 4 AÑOS, HASTA UNA ALTURA DE 3 MTS.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 APLICACION DE PINTURA A DOS MANOS DE PAREDES Y TECHO.</t>
  </si>
  <si>
    <t>ROXANA PATRICIA OLIVAS LOPEZ</t>
  </si>
  <si>
    <t>DE LOS SAUCES No. 212 COL. LOS FRESNOS CULIACAN,SIN.</t>
  </si>
  <si>
    <t>RFC: OILR-661015-7DA</t>
  </si>
  <si>
    <t>OBRA CIVIL E INSTALACIONES HGR No. 1 PASILLOS Y BAÑOS DEL 2o PISO</t>
  </si>
  <si>
    <t>OBRA CIVIL E INSTALACIONES HGR No. 1 PASILLOS Y BAÑOS DEL 1o PISO</t>
  </si>
  <si>
    <t>OBRA CIVIL E INSTALACIONES HGR No. 1 PASILLOS Y BAÑOS DEL 3o PISO</t>
  </si>
  <si>
    <t>SUMINISTRO Y COLOCACION DE PLAFON RIGIDO, CONSISTIENDO EN PLACA DE TABLAROCA, SELLADO CON PREFACINTA Y REDIMIX,CANALES, PIJAS TODO LO NECESARIO PARA SU CORRECTA FABRICACION,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</si>
  <si>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MURO DIVISORIO DE TABLA-ROCA,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 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CARGOS DERIVADOS DEL USO DE HERRAMIENTA Y EQUIPO, EN CUALQUIER NIVEL.</t>
  </si>
  <si>
    <t>DE 90 MM. DE ESPESOR, CON PLACA DE 13 MM. EN DOS CARAS, CON CANALES Y POSTES DE LAMINA DE 63.5 MM. DE ANCHO.</t>
  </si>
  <si>
    <t xml:space="preserve"> DESMONTE DE HERRERIA, INCLUYE; CARGO DIRECTO POR EL COSTO DE MANO DE OBRA REQUERIDA, DESCUBRIR ANCLAS Y CORTES EN SU CASO, SELECCION, ENDEREZADO, ACARREO DE MATERIAL RECOBRADO AL ALMACEN EN OBRA, EMPAQUETADO, CLASIFICADO Y ETIQUETADO, LIMPIEZA, EQUIPO DE SEGURIDAD, INSTALACIONES ESPECIFICAS, DEPRECIACION Y DEMAS DERIVADOS DEL USO DE HERRAMIENTA Y EQUIPO, EN CUALQUIER NIVEL.</t>
  </si>
  <si>
    <t xml:space="preserve"> DE MALLA CICLONICA Y TUBO REDONDO DE 2 PULGADA.</t>
  </si>
  <si>
    <t>HECHURA DE HUECO EN FALSO PLAFON DE TABLAROCA PARA INSTALACION DE LAMPARAS DE 1.20 X .60 MTS. EN TECHO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</si>
  <si>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SUMINISTRO Y APLICACIÓN DE PINTURA VINÍLICA DE MARCA Y CALIDAD AUTORIZADA POR EL IMSS, INCLUYE: CARGO DIRECTO POR EL COSTO DE LOS MATERIALES Y MANO DE OBRA QUE INTERVENGAN, FLETE A OBRA, DESPERDICIO, ACARREO HASTA EL LUGAR DE SU UTILIZACIÓN, PREPARACIÓN DE LA SUPERFICIE, FONDEO, SELLADOR, RETAPADO, EMPLASTECIDO Y APLICACIÓN DE DOS CAPAS COMO MÍNIMO, PROTECCIÓN CON HULE, CINTA O PAPEL, LIMPIEZA Y RETIRO DE SOBRANTES FUERA DE OBRA, EQUIPO DE SEGURIDAD, INSTALACIONES ESPECÍFICAS, DEPRECIACIÓN Y DEMÁS CARGOS DERIVADOS DEL USO DE HERRAMIENTA Y EQUIPO, EN CUALQUIER NIVEL.</t>
  </si>
  <si>
    <t xml:space="preserve">EN MUROS APLANADOS </t>
  </si>
  <si>
    <t>DE PLASTICO TRANSPARENTE</t>
  </si>
  <si>
    <t>SUMINISTRO Y COLOCACIÓN DE CORTINA DE PLASTICO; CONFECCIONADA, INCLUYE: CARGO DIRECTO POR EL COSTO DE LOS MATERIALES Y MANO DE OBRA QUE INTERVENGAN, SOPORTE CONSTRUIDOS CON FAJILLA DE MADERA DE PINO, FLETE A OBRA, ACARREO HASTA EL LUGAR DE SU UTILIZACIÓN, TRAZO, CORTES, DOBLADILLOS, PLIEGUES, HECHURA, LIMPIEZA Y RETIRO DE SOBRANTES FUERA DE OBRA, EQUIPO DE SEGURIDAD, INSTALACIONES ESPECÍFICAS, DEPRECIACIÓN Y DEMÁS CARGOS DERIVADOS DEL USO DE HERRAMIENTA Y EQUIPO EN CUALQUIER NIVEL.</t>
  </si>
  <si>
    <t>SUMINISTRO Y COLOCACION DE SALIDA DE CONTACTO  1F, 3H, 110 VCA.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</si>
  <si>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INSTALACION RED HIDRAULICA PARA LINEA DE VENTILADOR INDUSTRIAL  CONSISTIENDO EN INSTALACION DE TUBO DE PVC DE 1/2", CODOS Y CONEXIONES,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</si>
  <si>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EQ</t>
  </si>
  <si>
    <t>007 MATERIAL Y MANO DE OBRA POR INSTALACION DE EQUIPO DE AIRE ACONDICIONADO TIPO MINISPLIT DE 24000 BTU 220 VOLTS MARCA MIRAGE X3, INSTALACION DE TUBERIA Y CONDUCTORES ELECTRICOS,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</si>
  <si>
    <t>RETIRO DE PSIO CERÁMICO DE 30X30CMS CON RECUPERACIÓN, INCLUYE: CARGO DIRECTO POR EL COSTO DE MANO DE OBRA Y MATERIALES REQUERIDOS, FLETE A OBRA,  ACARREO, TRAZO, NIVELACIÓN,  LIMPIEZA Y RETIRO DE SOBRANTES FUERA DE OBRA, EQUIPO DE SEGURIDAD, INSTALACIONES ESPECIFICAS, DEPRECIACIÓN Y DEMÁS CARGOS  DERIVADOS DEL USO DE EQUIPO Y HERRAMIENTA, EN CUALQUIER NIVEL.</t>
  </si>
  <si>
    <t>DE 30X30 CMS</t>
  </si>
  <si>
    <t xml:space="preserve"> COLOCACIÓN DE PISO CERÁMICO RECUPERADO, INCLUYE: CARGO DIRECTO POR EL COSTO DE MANO DE OBRA Y MATERIALES REQUERIDOS, FLETE A OBRA,  ACARREO, TRAZO, NIVELACIÓN, , LIMPIEZA Y RETIRO DE SOBRANTES FUERA DE OBRA, EQUIPO DE SEGURIDAD, INSTALACIONES ESPECIFICAS, DEPRECIACIÓN Y DEMÁS CARGOS  DERIVADOS DEL USO DE EQUIPO Y HERRAMIENTA, EN CUALQUIER NIVEL.</t>
  </si>
  <si>
    <t>ADECUACIÓN DE ÁREA DE TRABAJO</t>
  </si>
  <si>
    <t>COORDINACIÓN DE ABASTACEMIENTO Y EQUIPAMIENTO</t>
  </si>
  <si>
    <t>MATERIAL Y MANO DE OBRA POR COLOCACION DE LUMINARIO TIPO GABINETE MODELO LTL- 3280 DE 3 X 28 WATTS, DE DIMENSIONES DE 1.20 X .60 MTS. ALIMENTAION 100-240 VOLTZ., 60 HZ., MCA TECNO LITE, INCLUYE: CARGO DIRECTO POR EL COSTO DE MANO DE OBRA Y MATERIALES REQUERIDOS, FLETE A OBRA,  ACARREO, TRAZO, NIVELACIÓN, EMPOTRADO, LIMPIEZA Y RETIRO DE SOBRANTES FUERA DE OBRA, EQUIPO DE SEGURIDAD, INSTALACIONES ESPECIFICAS, DEPRECIACIÓN Y DEMÁS CARGOS  DERIVADOS DEL USO DE EQUIPO Y HERRAMIENTA, EN CUALQUIER NIVEL.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</si>
</sst>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00000"/>
  </numFmts>
  <fonts count="15" x14ac:knownFonts="1">
    <font>
      <sz val="11"/>
      <color theme="1"/>
      <name val="Calibri"/>
      <family val="2"/>
      <scheme val="minor"/>
    </font>
    <font>
      <sz val="10"/>
      <name val="Arial"/>
      <family val="2"/>
    </font>
    <font>
      <sz val="8"/>
      <name val="Arial"/>
      <family val="2"/>
    </font>
    <font>
      <b/>
      <sz val="10"/>
      <name val="Arial"/>
      <family val="2"/>
    </font>
    <font>
      <sz val="11"/>
      <color theme="1"/>
      <name val="Calibri"/>
      <family val="2"/>
      <scheme val="minor"/>
    </font>
    <font>
      <b/>
      <sz val="18"/>
      <name val="Arial"/>
      <family val="2"/>
    </font>
    <font>
      <sz val="14"/>
      <name val="Arial"/>
      <family val="2"/>
    </font>
    <font>
      <b/>
      <i/>
      <sz val="12"/>
      <name val="Arial"/>
      <family val="2"/>
    </font>
    <font>
      <i/>
      <sz val="10"/>
      <name val="Arial"/>
      <family val="2"/>
    </font>
    <font>
      <b/>
      <sz val="8"/>
      <name val="Arial"/>
      <family val="2"/>
    </font>
    <font>
      <sz val="8"/>
      <color theme="1"/>
      <name val="Arial"/>
      <family val="2"/>
    </font>
    <font>
      <sz val="10"/>
      <color theme="1"/>
      <name val="Calibri"/>
      <family val="2"/>
      <scheme val="minor"/>
    </font>
    <font>
      <b/>
      <sz val="14"/>
      <name val="Arial"/>
      <family val="2"/>
    </font>
    <font>
      <b/>
      <sz val="11"/>
      <name val="Arial"/>
      <family val="2"/>
    </font>
    <font>
      <b/>
      <i/>
      <sz val="11"/>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s>
  <borders count="46">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s>
  <cellStyleXfs count="3">
    <xf numFmtId="0" fontId="0" fillId="0" borderId="0"/>
    <xf numFmtId="0" fontId="1" fillId="0" borderId="0"/>
    <xf numFmtId="43" fontId="4" fillId="0" borderId="0" applyFont="0" applyFill="0" applyBorder="0" applyAlignment="0" applyProtection="0"/>
  </cellStyleXfs>
  <cellXfs count="201">
    <xf numFmtId="0" fontId="0" fillId="0" borderId="0" xfId="0"/>
    <xf numFmtId="0" fontId="5" fillId="0" borderId="0" xfId="0" applyFont="1" applyAlignment="1">
      <alignment horizontal="centerContinuous"/>
    </xf>
    <xf numFmtId="0" fontId="6" fillId="0" borderId="0" xfId="0" applyFont="1" applyAlignment="1">
      <alignment horizontal="centerContinuous"/>
    </xf>
    <xf numFmtId="0" fontId="2" fillId="0" borderId="0" xfId="0" applyFont="1"/>
    <xf numFmtId="0" fontId="2" fillId="0" borderId="0" xfId="0" applyFont="1" applyAlignment="1">
      <alignment horizontal="centerContinuous"/>
    </xf>
    <xf numFmtId="0" fontId="7" fillId="0" borderId="0" xfId="0" applyFont="1" applyAlignment="1">
      <alignment horizontal="centerContinuous"/>
    </xf>
    <xf numFmtId="0" fontId="8" fillId="0" borderId="0" xfId="0" applyFont="1" applyAlignment="1">
      <alignment horizontal="centerContinuous"/>
    </xf>
    <xf numFmtId="0" fontId="9" fillId="2" borderId="0" xfId="0" applyFont="1" applyFill="1"/>
    <xf numFmtId="49" fontId="2" fillId="2" borderId="0" xfId="0" applyNumberFormat="1" applyFont="1" applyFill="1"/>
    <xf numFmtId="0" fontId="2" fillId="2" borderId="0" xfId="0" applyFont="1" applyFill="1"/>
    <xf numFmtId="0" fontId="9" fillId="2" borderId="1" xfId="0" applyFont="1" applyFill="1" applyBorder="1"/>
    <xf numFmtId="0" fontId="9" fillId="2" borderId="2" xfId="0" applyFont="1" applyFill="1" applyBorder="1"/>
    <xf numFmtId="0" fontId="2" fillId="2" borderId="2" xfId="0" applyFont="1" applyFill="1" applyBorder="1"/>
    <xf numFmtId="0" fontId="3" fillId="0" borderId="3" xfId="0" applyFont="1" applyBorder="1" applyAlignment="1">
      <alignment vertical="center"/>
    </xf>
    <xf numFmtId="0" fontId="2" fillId="0" borderId="3" xfId="0" applyFont="1" applyBorder="1"/>
    <xf numFmtId="0" fontId="9" fillId="0" borderId="0" xfId="0" applyFont="1" applyAlignment="1">
      <alignment vertical="center"/>
    </xf>
    <xf numFmtId="49" fontId="2" fillId="0" borderId="0" xfId="0" applyNumberFormat="1" applyFont="1"/>
    <xf numFmtId="43" fontId="2" fillId="0" borderId="0" xfId="2" applyFont="1"/>
    <xf numFmtId="0" fontId="2" fillId="0" borderId="0" xfId="0" applyFont="1" applyAlignment="1">
      <alignment horizontal="left"/>
    </xf>
    <xf numFmtId="0" fontId="9" fillId="2" borderId="4" xfId="0" applyFont="1" applyFill="1" applyBorder="1"/>
    <xf numFmtId="0" fontId="9" fillId="2" borderId="5" xfId="0" applyFont="1" applyFill="1" applyBorder="1"/>
    <xf numFmtId="0" fontId="9" fillId="2" borderId="6" xfId="0" applyFont="1" applyFill="1" applyBorder="1"/>
    <xf numFmtId="0" fontId="9" fillId="2" borderId="7" xfId="0" applyFont="1" applyFill="1" applyBorder="1"/>
    <xf numFmtId="0" fontId="9" fillId="2" borderId="7" xfId="0" applyFont="1" applyFill="1" applyBorder="1" applyAlignment="1">
      <alignment horizontal="right"/>
    </xf>
    <xf numFmtId="0" fontId="9" fillId="0" borderId="4" xfId="0" applyFont="1" applyBorder="1"/>
    <xf numFmtId="0" fontId="9" fillId="0" borderId="6" xfId="0" applyFont="1" applyBorder="1"/>
    <xf numFmtId="0" fontId="2" fillId="0" borderId="6" xfId="0" applyFont="1" applyBorder="1"/>
    <xf numFmtId="0" fontId="2" fillId="0" borderId="6" xfId="0" applyFont="1" applyBorder="1" applyAlignment="1">
      <alignment horizontal="right"/>
    </xf>
    <xf numFmtId="0" fontId="2" fillId="0" borderId="5" xfId="0" applyFont="1" applyBorder="1" applyAlignment="1">
      <alignment horizontal="right"/>
    </xf>
    <xf numFmtId="0" fontId="2" fillId="0" borderId="0" xfId="0" applyFont="1" applyAlignment="1">
      <alignment vertical="top"/>
    </xf>
    <xf numFmtId="49" fontId="2" fillId="0" borderId="9" xfId="0" applyNumberFormat="1" applyFont="1" applyBorder="1" applyAlignment="1">
      <alignment vertical="top"/>
    </xf>
    <xf numFmtId="49" fontId="2" fillId="0" borderId="10" xfId="0" applyNumberFormat="1" applyFont="1" applyBorder="1" applyAlignment="1">
      <alignment vertical="top"/>
    </xf>
    <xf numFmtId="0" fontId="2" fillId="0" borderId="10" xfId="0" applyFont="1" applyBorder="1" applyAlignment="1">
      <alignment vertical="top"/>
    </xf>
    <xf numFmtId="164" fontId="2" fillId="0" borderId="10" xfId="0" applyNumberFormat="1" applyFont="1" applyBorder="1" applyAlignment="1">
      <alignment horizontal="right" vertical="top"/>
    </xf>
    <xf numFmtId="4" fontId="2" fillId="0" borderId="10" xfId="0" applyNumberFormat="1" applyFont="1" applyBorder="1" applyAlignment="1">
      <alignment horizontal="right" vertical="top"/>
    </xf>
    <xf numFmtId="4" fontId="2" fillId="0" borderId="11" xfId="0" applyNumberFormat="1" applyFont="1" applyBorder="1" applyAlignment="1">
      <alignment horizontal="right" vertical="top"/>
    </xf>
    <xf numFmtId="0" fontId="2" fillId="0" borderId="12" xfId="0" applyFont="1" applyBorder="1" applyAlignment="1">
      <alignment horizontal="right"/>
    </xf>
    <xf numFmtId="4" fontId="9" fillId="2" borderId="8" xfId="0" applyNumberFormat="1" applyFont="1" applyFill="1" applyBorder="1" applyAlignment="1">
      <alignment horizontal="right"/>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9" fillId="2" borderId="17" xfId="0" applyFont="1" applyFill="1" applyBorder="1"/>
    <xf numFmtId="0" fontId="2" fillId="2" borderId="6" xfId="0" applyFont="1" applyFill="1" applyBorder="1"/>
    <xf numFmtId="0" fontId="2" fillId="2" borderId="5" xfId="0" applyFont="1" applyFill="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15" xfId="0" applyFont="1" applyBorder="1" applyAlignment="1">
      <alignment horizontal="right"/>
    </xf>
    <xf numFmtId="0" fontId="2" fillId="0" borderId="16" xfId="0" applyFont="1" applyBorder="1" applyAlignment="1">
      <alignment horizontal="right"/>
    </xf>
    <xf numFmtId="0" fontId="2" fillId="2" borderId="4" xfId="0" applyFont="1" applyFill="1" applyBorder="1"/>
    <xf numFmtId="0" fontId="2" fillId="2" borderId="6" xfId="0" applyFont="1" applyFill="1" applyBorder="1" applyAlignment="1">
      <alignment horizontal="right"/>
    </xf>
    <xf numFmtId="0" fontId="2" fillId="2" borderId="5" xfId="0" applyFont="1" applyFill="1" applyBorder="1" applyAlignment="1">
      <alignment horizontal="right"/>
    </xf>
    <xf numFmtId="0" fontId="2" fillId="0" borderId="22" xfId="0" applyFont="1" applyBorder="1"/>
    <xf numFmtId="49" fontId="2" fillId="0" borderId="23" xfId="0" applyNumberFormat="1" applyFont="1" applyBorder="1" applyAlignment="1">
      <alignment vertical="top"/>
    </xf>
    <xf numFmtId="49" fontId="2" fillId="0" borderId="7" xfId="0" applyNumberFormat="1" applyFont="1" applyBorder="1" applyAlignment="1">
      <alignment vertical="top"/>
    </xf>
    <xf numFmtId="0" fontId="2" fillId="0" borderId="7" xfId="0" applyFont="1" applyBorder="1" applyAlignment="1">
      <alignment vertical="top"/>
    </xf>
    <xf numFmtId="164" fontId="2" fillId="0" borderId="7" xfId="0" applyNumberFormat="1" applyFont="1" applyBorder="1" applyAlignment="1">
      <alignment horizontal="right" vertical="top"/>
    </xf>
    <xf numFmtId="4" fontId="2" fillId="0" borderId="7" xfId="0" applyNumberFormat="1" applyFont="1" applyBorder="1" applyAlignment="1">
      <alignment horizontal="right" vertical="top"/>
    </xf>
    <xf numFmtId="4" fontId="2" fillId="0" borderId="8" xfId="0" applyNumberFormat="1" applyFont="1" applyBorder="1" applyAlignment="1">
      <alignment horizontal="right" vertical="top"/>
    </xf>
    <xf numFmtId="49" fontId="2" fillId="0" borderId="0" xfId="0" applyNumberFormat="1" applyFont="1" applyBorder="1" applyAlignment="1">
      <alignment vertical="top"/>
    </xf>
    <xf numFmtId="0" fontId="2" fillId="0" borderId="0" xfId="0" applyFont="1" applyBorder="1" applyAlignment="1">
      <alignment horizontal="justify" vertical="top" wrapText="1"/>
    </xf>
    <xf numFmtId="0" fontId="2" fillId="0" borderId="0" xfId="0" applyFont="1" applyBorder="1" applyAlignment="1">
      <alignment horizontal="justify" vertical="top"/>
    </xf>
    <xf numFmtId="0" fontId="2" fillId="0" borderId="0" xfId="0" applyFont="1" applyBorder="1" applyAlignment="1">
      <alignment vertical="top"/>
    </xf>
    <xf numFmtId="164" fontId="2" fillId="0" borderId="0" xfId="0" applyNumberFormat="1" applyFont="1" applyBorder="1" applyAlignment="1">
      <alignment horizontal="right" vertical="top"/>
    </xf>
    <xf numFmtId="4" fontId="2" fillId="0" borderId="0" xfId="0" applyNumberFormat="1" applyFont="1" applyBorder="1" applyAlignment="1">
      <alignment horizontal="right" vertical="top"/>
    </xf>
    <xf numFmtId="4" fontId="11" fillId="0" borderId="7" xfId="0" applyNumberFormat="1" applyFont="1" applyBorder="1" applyAlignment="1">
      <alignment vertical="top"/>
    </xf>
    <xf numFmtId="49" fontId="2" fillId="0" borderId="5" xfId="0" applyNumberFormat="1" applyFont="1" applyBorder="1" applyAlignment="1">
      <alignment vertical="top"/>
    </xf>
    <xf numFmtId="0" fontId="10" fillId="0" borderId="25" xfId="0" applyFont="1" applyBorder="1" applyAlignment="1">
      <alignment horizontal="justify" vertical="top" wrapText="1"/>
    </xf>
    <xf numFmtId="0" fontId="10" fillId="0" borderId="2" xfId="0" applyFont="1" applyBorder="1" applyAlignment="1">
      <alignment horizontal="justify" vertical="top"/>
    </xf>
    <xf numFmtId="0" fontId="10" fillId="0" borderId="24" xfId="0" applyFont="1" applyBorder="1" applyAlignment="1">
      <alignment horizontal="justify" vertical="top"/>
    </xf>
    <xf numFmtId="0" fontId="10" fillId="0" borderId="4" xfId="0" applyFont="1" applyBorder="1" applyAlignment="1">
      <alignment horizontal="justify" vertical="top" wrapText="1"/>
    </xf>
    <xf numFmtId="0" fontId="10" fillId="0" borderId="6" xfId="0" applyFont="1" applyBorder="1" applyAlignment="1">
      <alignment horizontal="justify" vertical="top"/>
    </xf>
    <xf numFmtId="0" fontId="10" fillId="0" borderId="5" xfId="0" applyFont="1" applyBorder="1" applyAlignment="1">
      <alignment horizontal="justify" vertical="top"/>
    </xf>
    <xf numFmtId="49" fontId="2" fillId="0" borderId="23" xfId="0" applyNumberFormat="1" applyFont="1" applyFill="1" applyBorder="1" applyAlignment="1">
      <alignment vertical="top"/>
    </xf>
    <xf numFmtId="49" fontId="2" fillId="0" borderId="9" xfId="0" applyNumberFormat="1" applyFont="1" applyFill="1" applyBorder="1" applyAlignment="1">
      <alignment vertical="top"/>
    </xf>
    <xf numFmtId="4" fontId="2" fillId="0" borderId="0" xfId="0" applyNumberFormat="1" applyFont="1" applyAlignment="1">
      <alignment vertical="top"/>
    </xf>
    <xf numFmtId="49" fontId="2" fillId="0" borderId="5" xfId="0" applyNumberFormat="1" applyFont="1" applyFill="1" applyBorder="1" applyAlignment="1">
      <alignment vertical="top"/>
    </xf>
    <xf numFmtId="0" fontId="2" fillId="0" borderId="7" xfId="0" applyFont="1" applyFill="1" applyBorder="1" applyAlignment="1">
      <alignment vertical="top"/>
    </xf>
    <xf numFmtId="164" fontId="2" fillId="0" borderId="7" xfId="0" applyNumberFormat="1" applyFont="1" applyFill="1" applyBorder="1" applyAlignment="1">
      <alignment horizontal="right" vertical="top"/>
    </xf>
    <xf numFmtId="4" fontId="11" fillId="0" borderId="7" xfId="0" applyNumberFormat="1" applyFont="1" applyFill="1" applyBorder="1" applyAlignment="1">
      <alignment vertical="top"/>
    </xf>
    <xf numFmtId="4" fontId="2" fillId="0" borderId="8" xfId="0" applyNumberFormat="1" applyFont="1" applyFill="1" applyBorder="1" applyAlignment="1">
      <alignment horizontal="right" vertical="top"/>
    </xf>
    <xf numFmtId="0" fontId="2" fillId="0" borderId="0" xfId="0" applyFont="1" applyFill="1" applyAlignment="1">
      <alignment vertical="top"/>
    </xf>
    <xf numFmtId="0" fontId="2" fillId="0" borderId="10" xfId="0" applyFont="1" applyFill="1" applyBorder="1" applyAlignment="1">
      <alignment vertical="top"/>
    </xf>
    <xf numFmtId="164" fontId="2" fillId="0" borderId="10" xfId="0" applyNumberFormat="1" applyFont="1" applyFill="1" applyBorder="1" applyAlignment="1">
      <alignment horizontal="right" vertical="top"/>
    </xf>
    <xf numFmtId="4" fontId="2" fillId="0" borderId="10" xfId="0" applyNumberFormat="1" applyFont="1" applyFill="1" applyBorder="1" applyAlignment="1">
      <alignment horizontal="right" vertical="top"/>
    </xf>
    <xf numFmtId="4" fontId="2" fillId="0" borderId="11" xfId="0" applyNumberFormat="1" applyFont="1" applyFill="1" applyBorder="1" applyAlignment="1">
      <alignment horizontal="right" vertical="top"/>
    </xf>
    <xf numFmtId="49" fontId="2" fillId="0" borderId="7" xfId="0" applyNumberFormat="1" applyFont="1" applyFill="1" applyBorder="1" applyAlignment="1">
      <alignment vertical="top"/>
    </xf>
    <xf numFmtId="4" fontId="2" fillId="0" borderId="7" xfId="0" applyNumberFormat="1" applyFont="1" applyFill="1" applyBorder="1" applyAlignment="1">
      <alignment horizontal="right" vertical="top"/>
    </xf>
    <xf numFmtId="49" fontId="2" fillId="0" borderId="27" xfId="0" applyNumberFormat="1" applyFont="1" applyBorder="1" applyAlignment="1">
      <alignment vertical="top"/>
    </xf>
    <xf numFmtId="0" fontId="2" fillId="0" borderId="27" xfId="0" applyFont="1" applyBorder="1" applyAlignment="1">
      <alignment vertical="top"/>
    </xf>
    <xf numFmtId="164" fontId="2" fillId="0" borderId="27" xfId="0" applyNumberFormat="1" applyFont="1" applyBorder="1" applyAlignment="1">
      <alignment horizontal="right" vertical="top"/>
    </xf>
    <xf numFmtId="4" fontId="2" fillId="0" borderId="27" xfId="0" applyNumberFormat="1" applyFont="1" applyBorder="1" applyAlignment="1">
      <alignment horizontal="right" vertical="top"/>
    </xf>
    <xf numFmtId="4" fontId="2" fillId="0" borderId="28" xfId="0" applyNumberFormat="1" applyFont="1" applyBorder="1" applyAlignment="1">
      <alignment horizontal="right" vertical="top"/>
    </xf>
    <xf numFmtId="4" fontId="2" fillId="0" borderId="29" xfId="0" applyNumberFormat="1" applyFont="1" applyBorder="1" applyAlignment="1">
      <alignment vertical="top"/>
    </xf>
    <xf numFmtId="0" fontId="2" fillId="0" borderId="29" xfId="0" applyFont="1" applyBorder="1" applyAlignment="1">
      <alignment vertical="top"/>
    </xf>
    <xf numFmtId="4" fontId="2" fillId="0" borderId="0" xfId="0" applyNumberFormat="1" applyFont="1"/>
    <xf numFmtId="4" fontId="2" fillId="0" borderId="0" xfId="0" applyNumberFormat="1" applyFont="1" applyBorder="1" applyAlignment="1">
      <alignment vertical="top"/>
    </xf>
    <xf numFmtId="4" fontId="2" fillId="0" borderId="0" xfId="0" applyNumberFormat="1" applyFont="1" applyAlignment="1">
      <alignment horizontal="right"/>
    </xf>
    <xf numFmtId="49" fontId="2" fillId="0" borderId="35" xfId="0" applyNumberFormat="1" applyFont="1" applyBorder="1" applyAlignment="1">
      <alignment vertical="top"/>
    </xf>
    <xf numFmtId="49" fontId="2" fillId="0" borderId="36" xfId="0" applyNumberFormat="1" applyFont="1" applyBorder="1" applyAlignment="1">
      <alignment vertical="top"/>
    </xf>
    <xf numFmtId="0" fontId="2" fillId="0" borderId="36" xfId="0" applyFont="1" applyBorder="1" applyAlignment="1">
      <alignment vertical="top"/>
    </xf>
    <xf numFmtId="164" fontId="2" fillId="0" borderId="36" xfId="0" applyNumberFormat="1" applyFont="1" applyBorder="1" applyAlignment="1">
      <alignment horizontal="right" vertical="top"/>
    </xf>
    <xf numFmtId="4" fontId="2" fillId="0" borderId="36" xfId="0" applyNumberFormat="1" applyFont="1" applyBorder="1" applyAlignment="1">
      <alignment horizontal="right" vertical="top"/>
    </xf>
    <xf numFmtId="4" fontId="2" fillId="0" borderId="37" xfId="0" applyNumberFormat="1" applyFont="1" applyBorder="1" applyAlignment="1">
      <alignment horizontal="right" vertical="top"/>
    </xf>
    <xf numFmtId="4" fontId="2" fillId="0" borderId="38" xfId="0" applyNumberFormat="1" applyFont="1" applyBorder="1" applyAlignment="1">
      <alignment vertical="top"/>
    </xf>
    <xf numFmtId="0" fontId="2" fillId="0" borderId="38" xfId="0" applyFont="1" applyBorder="1" applyAlignment="1">
      <alignment vertical="top"/>
    </xf>
    <xf numFmtId="49" fontId="2" fillId="0" borderId="26" xfId="0" applyNumberFormat="1" applyFont="1" applyBorder="1" applyAlignment="1">
      <alignment vertical="top"/>
    </xf>
    <xf numFmtId="49" fontId="2" fillId="0" borderId="39" xfId="0" applyNumberFormat="1" applyFont="1" applyBorder="1" applyAlignment="1">
      <alignment vertical="top"/>
    </xf>
    <xf numFmtId="49" fontId="2" fillId="0" borderId="40" xfId="0" applyNumberFormat="1" applyFont="1" applyBorder="1" applyAlignment="1">
      <alignment vertical="top"/>
    </xf>
    <xf numFmtId="0" fontId="2" fillId="0" borderId="40" xfId="0" applyFont="1" applyBorder="1" applyAlignment="1">
      <alignment vertical="top"/>
    </xf>
    <xf numFmtId="164" fontId="2" fillId="0" borderId="40" xfId="0" applyNumberFormat="1" applyFont="1" applyBorder="1" applyAlignment="1">
      <alignment horizontal="right" vertical="top"/>
    </xf>
    <xf numFmtId="4" fontId="2" fillId="0" borderId="40" xfId="0" applyNumberFormat="1" applyFont="1" applyBorder="1" applyAlignment="1">
      <alignment horizontal="right" vertical="top"/>
    </xf>
    <xf numFmtId="4" fontId="2" fillId="0" borderId="41" xfId="0" applyNumberFormat="1" applyFont="1" applyBorder="1" applyAlignment="1">
      <alignment horizontal="right" vertical="top"/>
    </xf>
    <xf numFmtId="0" fontId="12"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49" fontId="2" fillId="0" borderId="0" xfId="0" applyNumberFormat="1" applyFont="1" applyFill="1"/>
    <xf numFmtId="4" fontId="11" fillId="0" borderId="42" xfId="0" applyNumberFormat="1" applyFont="1" applyBorder="1" applyAlignment="1">
      <alignment vertical="top"/>
    </xf>
    <xf numFmtId="0" fontId="10" fillId="0" borderId="6" xfId="0" applyFont="1" applyBorder="1" applyAlignment="1">
      <alignment horizontal="justify" vertical="top"/>
    </xf>
    <xf numFmtId="0" fontId="10" fillId="0" borderId="5" xfId="0" applyFont="1" applyBorder="1" applyAlignment="1">
      <alignment horizontal="justify" vertical="top"/>
    </xf>
    <xf numFmtId="0" fontId="10" fillId="0" borderId="4" xfId="0" applyFont="1" applyBorder="1" applyAlignment="1">
      <alignment horizontal="justify" vertical="top" wrapText="1"/>
    </xf>
    <xf numFmtId="4" fontId="2" fillId="0" borderId="0" xfId="0" applyNumberFormat="1" applyFont="1" applyFill="1" applyAlignment="1">
      <alignment vertical="top"/>
    </xf>
    <xf numFmtId="0" fontId="2" fillId="0" borderId="43" xfId="0" applyFont="1" applyBorder="1" applyAlignment="1">
      <alignment vertical="top"/>
    </xf>
    <xf numFmtId="164" fontId="2" fillId="0" borderId="44" xfId="0" applyNumberFormat="1" applyFont="1" applyBorder="1" applyAlignment="1">
      <alignment horizontal="right" vertical="top"/>
    </xf>
    <xf numFmtId="4" fontId="2" fillId="0" borderId="43" xfId="0" applyNumberFormat="1" applyFont="1" applyBorder="1" applyAlignment="1">
      <alignment horizontal="right" vertical="top"/>
    </xf>
    <xf numFmtId="4" fontId="2" fillId="0" borderId="45" xfId="0" applyNumberFormat="1" applyFont="1" applyBorder="1" applyAlignment="1">
      <alignment horizontal="right" vertical="top"/>
    </xf>
    <xf numFmtId="49" fontId="2" fillId="0" borderId="24" xfId="0" applyNumberFormat="1" applyFont="1" applyBorder="1" applyAlignment="1">
      <alignment vertical="top"/>
    </xf>
    <xf numFmtId="0" fontId="10" fillId="0" borderId="25" xfId="0" applyFont="1" applyBorder="1" applyAlignment="1">
      <alignment horizontal="justify" vertical="top"/>
    </xf>
    <xf numFmtId="4" fontId="11" fillId="0" borderId="10" xfId="0" applyNumberFormat="1" applyFont="1" applyBorder="1" applyAlignment="1">
      <alignment vertical="top"/>
    </xf>
    <xf numFmtId="0" fontId="10" fillId="0" borderId="6" xfId="0" applyFont="1" applyBorder="1" applyAlignment="1">
      <alignment horizontal="justify" vertical="top"/>
    </xf>
    <xf numFmtId="0" fontId="10" fillId="0" borderId="5" xfId="0" applyFont="1" applyBorder="1" applyAlignment="1">
      <alignment horizontal="justify" vertical="top"/>
    </xf>
    <xf numFmtId="0" fontId="10" fillId="0" borderId="4" xfId="0" applyFont="1" applyBorder="1" applyAlignment="1">
      <alignment horizontal="justify" vertical="top" wrapText="1"/>
    </xf>
    <xf numFmtId="0" fontId="10" fillId="0" borderId="4" xfId="0" applyFont="1" applyBorder="1" applyAlignment="1">
      <alignment horizontal="justify" vertical="top"/>
    </xf>
    <xf numFmtId="0" fontId="10" fillId="0" borderId="6" xfId="0" applyFont="1" applyBorder="1" applyAlignment="1">
      <alignment horizontal="justify" vertical="top"/>
    </xf>
    <xf numFmtId="0" fontId="10" fillId="0" borderId="5" xfId="0" applyFont="1" applyBorder="1" applyAlignment="1">
      <alignment horizontal="justify" vertical="top"/>
    </xf>
    <xf numFmtId="0" fontId="2" fillId="0" borderId="7" xfId="0" applyFont="1" applyBorder="1" applyAlignment="1">
      <alignment horizontal="justify" vertical="top" wrapText="1"/>
    </xf>
    <xf numFmtId="0" fontId="2" fillId="0" borderId="7" xfId="0" applyFont="1" applyBorder="1" applyAlignment="1">
      <alignment horizontal="justify" vertical="top"/>
    </xf>
    <xf numFmtId="0" fontId="10" fillId="0" borderId="4" xfId="0" applyFont="1" applyBorder="1" applyAlignment="1">
      <alignment horizontal="justify" vertical="top" wrapText="1"/>
    </xf>
    <xf numFmtId="49" fontId="2" fillId="4" borderId="23" xfId="0" applyNumberFormat="1" applyFont="1" applyFill="1" applyBorder="1" applyAlignment="1">
      <alignment vertical="top"/>
    </xf>
    <xf numFmtId="49" fontId="2" fillId="3" borderId="23" xfId="0" applyNumberFormat="1" applyFont="1" applyFill="1" applyBorder="1" applyAlignment="1">
      <alignment vertical="top"/>
    </xf>
    <xf numFmtId="49" fontId="2" fillId="3" borderId="7" xfId="0" applyNumberFormat="1" applyFont="1" applyFill="1" applyBorder="1" applyAlignment="1">
      <alignment vertical="top"/>
    </xf>
    <xf numFmtId="49" fontId="2" fillId="5" borderId="23" xfId="0" applyNumberFormat="1" applyFont="1" applyFill="1" applyBorder="1" applyAlignment="1">
      <alignment vertical="top"/>
    </xf>
    <xf numFmtId="4" fontId="2" fillId="6" borderId="7" xfId="0" applyNumberFormat="1" applyFont="1" applyFill="1" applyBorder="1" applyAlignment="1">
      <alignment horizontal="right" vertical="top"/>
    </xf>
    <xf numFmtId="164" fontId="2" fillId="6" borderId="7" xfId="0" applyNumberFormat="1" applyFont="1" applyFill="1" applyBorder="1" applyAlignment="1">
      <alignment horizontal="right" vertical="top"/>
    </xf>
    <xf numFmtId="4" fontId="11" fillId="6" borderId="7" xfId="0" applyNumberFormat="1" applyFont="1" applyFill="1" applyBorder="1" applyAlignment="1">
      <alignment vertical="top"/>
    </xf>
    <xf numFmtId="4" fontId="11" fillId="6" borderId="42" xfId="0" applyNumberFormat="1" applyFont="1" applyFill="1" applyBorder="1" applyAlignment="1">
      <alignment vertical="top"/>
    </xf>
    <xf numFmtId="0" fontId="10" fillId="0" borderId="7" xfId="0" applyFont="1" applyFill="1" applyBorder="1" applyAlignment="1">
      <alignment horizontal="justify" vertical="top"/>
    </xf>
    <xf numFmtId="0" fontId="2" fillId="0" borderId="4" xfId="0" applyFont="1" applyFill="1" applyBorder="1" applyAlignment="1">
      <alignment horizontal="justify" vertical="top" wrapText="1"/>
    </xf>
    <xf numFmtId="0" fontId="2" fillId="0" borderId="6"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0" borderId="7" xfId="0" applyFont="1" applyFill="1" applyBorder="1" applyAlignment="1">
      <alignment horizontal="justify" vertical="top"/>
    </xf>
    <xf numFmtId="0" fontId="10" fillId="0" borderId="4" xfId="0" applyFont="1" applyBorder="1" applyAlignment="1">
      <alignment horizontal="justify" vertical="top"/>
    </xf>
    <xf numFmtId="0" fontId="10" fillId="0" borderId="6" xfId="0" applyFont="1" applyBorder="1" applyAlignment="1">
      <alignment horizontal="justify" vertical="top"/>
    </xf>
    <xf numFmtId="0" fontId="10" fillId="0" borderId="5" xfId="0" applyFont="1" applyBorder="1" applyAlignment="1">
      <alignment horizontal="justify" vertical="top"/>
    </xf>
    <xf numFmtId="0" fontId="10" fillId="0" borderId="7" xfId="0" applyFont="1" applyBorder="1" applyAlignment="1">
      <alignment horizontal="justify" vertical="top" wrapText="1"/>
    </xf>
    <xf numFmtId="0" fontId="10" fillId="0" borderId="7" xfId="0" applyFont="1" applyBorder="1" applyAlignment="1">
      <alignment horizontal="justify" vertical="top"/>
    </xf>
    <xf numFmtId="0" fontId="10" fillId="0" borderId="4" xfId="0" applyFont="1" applyFill="1" applyBorder="1" applyAlignment="1">
      <alignment horizontal="justify" vertical="top"/>
    </xf>
    <xf numFmtId="0" fontId="10" fillId="0" borderId="6" xfId="0" applyFont="1" applyFill="1" applyBorder="1" applyAlignment="1">
      <alignment horizontal="justify" vertical="top"/>
    </xf>
    <xf numFmtId="0" fontId="10" fillId="0" borderId="5" xfId="0" applyFont="1" applyFill="1" applyBorder="1" applyAlignment="1">
      <alignment horizontal="justify" vertical="top"/>
    </xf>
    <xf numFmtId="0" fontId="10" fillId="0" borderId="10" xfId="0" applyFont="1" applyBorder="1" applyAlignment="1">
      <alignment horizontal="justify" vertical="top"/>
    </xf>
    <xf numFmtId="0" fontId="2" fillId="0" borderId="7" xfId="0" applyFont="1" applyBorder="1" applyAlignment="1">
      <alignment horizontal="justify" vertical="top" wrapText="1"/>
    </xf>
    <xf numFmtId="0" fontId="2" fillId="0" borderId="7" xfId="0" applyFont="1" applyBorder="1" applyAlignment="1">
      <alignment horizontal="justify" vertical="top"/>
    </xf>
    <xf numFmtId="0" fontId="2" fillId="0" borderId="4" xfId="0" applyFont="1" applyBorder="1" applyAlignment="1">
      <alignment horizontal="justify" vertical="top" wrapText="1"/>
    </xf>
    <xf numFmtId="0" fontId="2" fillId="0" borderId="6" xfId="0" applyFont="1" applyBorder="1" applyAlignment="1">
      <alignment horizontal="justify" vertical="top" wrapText="1"/>
    </xf>
    <xf numFmtId="0" fontId="2" fillId="0" borderId="5" xfId="0" applyFont="1" applyBorder="1" applyAlignment="1">
      <alignment horizontal="justify" vertical="top" wrapText="1"/>
    </xf>
    <xf numFmtId="0" fontId="10" fillId="0" borderId="4" xfId="0" applyFont="1" applyBorder="1" applyAlignment="1">
      <alignment horizontal="justify" vertical="top" wrapText="1"/>
    </xf>
    <xf numFmtId="0" fontId="10" fillId="0" borderId="6" xfId="0" applyFont="1" applyBorder="1" applyAlignment="1">
      <alignment horizontal="justify" vertical="top" wrapText="1"/>
    </xf>
    <xf numFmtId="0" fontId="10" fillId="0" borderId="5" xfId="0" applyFont="1" applyBorder="1" applyAlignment="1">
      <alignment horizontal="justify" vertical="top" wrapText="1"/>
    </xf>
    <xf numFmtId="0" fontId="10" fillId="0" borderId="10" xfId="0" applyFont="1" applyBorder="1" applyAlignment="1">
      <alignment horizontal="justify" vertical="top" wrapText="1"/>
    </xf>
    <xf numFmtId="0" fontId="10" fillId="0" borderId="4" xfId="0" applyFont="1" applyFill="1" applyBorder="1" applyAlignment="1">
      <alignment horizontal="justify" vertical="top" wrapText="1"/>
    </xf>
    <xf numFmtId="0" fontId="10" fillId="0" borderId="36" xfId="0" applyFont="1" applyBorder="1" applyAlignment="1">
      <alignment horizontal="justify" vertical="top" wrapText="1"/>
    </xf>
    <xf numFmtId="0" fontId="10" fillId="0" borderId="36" xfId="0" applyFont="1" applyBorder="1" applyAlignment="1">
      <alignment horizontal="justify" vertical="top"/>
    </xf>
    <xf numFmtId="0" fontId="10" fillId="0" borderId="30" xfId="0" applyFont="1" applyBorder="1" applyAlignment="1">
      <alignment horizontal="justify" vertical="top" wrapText="1"/>
    </xf>
    <xf numFmtId="0" fontId="10" fillId="0" borderId="29" xfId="0" applyFont="1" applyBorder="1" applyAlignment="1">
      <alignment horizontal="justify" vertical="top" wrapText="1"/>
    </xf>
    <xf numFmtId="0" fontId="10" fillId="0" borderId="31" xfId="0" applyFont="1" applyBorder="1" applyAlignment="1">
      <alignment horizontal="justify" vertical="top" wrapText="1"/>
    </xf>
    <xf numFmtId="0" fontId="10" fillId="0" borderId="32" xfId="0" applyFont="1" applyBorder="1" applyAlignment="1">
      <alignment horizontal="justify" vertical="top" wrapText="1"/>
    </xf>
    <xf numFmtId="0" fontId="10" fillId="0" borderId="33" xfId="0" applyFont="1" applyBorder="1" applyAlignment="1">
      <alignment horizontal="justify" vertical="top" wrapText="1"/>
    </xf>
    <xf numFmtId="0" fontId="10" fillId="0" borderId="34" xfId="0" applyFont="1" applyBorder="1" applyAlignment="1">
      <alignment horizontal="justify" vertical="top" wrapText="1"/>
    </xf>
    <xf numFmtId="0" fontId="10" fillId="0" borderId="43" xfId="0" applyFont="1" applyBorder="1" applyAlignment="1">
      <alignment horizontal="justify" vertical="top" wrapText="1"/>
    </xf>
    <xf numFmtId="0" fontId="10" fillId="0" borderId="43" xfId="0" applyFont="1" applyBorder="1" applyAlignment="1">
      <alignment horizontal="justify" vertical="top"/>
    </xf>
    <xf numFmtId="0" fontId="10" fillId="0" borderId="22" xfId="0" applyFont="1" applyBorder="1" applyAlignment="1">
      <alignment horizontal="justify" vertical="top"/>
    </xf>
    <xf numFmtId="0" fontId="10" fillId="0" borderId="19" xfId="0" applyFont="1" applyBorder="1" applyAlignment="1">
      <alignment horizontal="justify" vertical="top"/>
    </xf>
    <xf numFmtId="0" fontId="10" fillId="0" borderId="20" xfId="0" applyFont="1" applyBorder="1" applyAlignment="1">
      <alignment horizontal="justify" vertical="top"/>
    </xf>
    <xf numFmtId="49" fontId="2" fillId="0" borderId="4" xfId="0" applyNumberFormat="1" applyFont="1" applyFill="1" applyBorder="1" applyAlignment="1">
      <alignment horizontal="justify" vertical="top"/>
    </xf>
    <xf numFmtId="49" fontId="2" fillId="0" borderId="6" xfId="0" applyNumberFormat="1" applyFont="1" applyFill="1" applyBorder="1" applyAlignment="1">
      <alignment horizontal="justify" vertical="top"/>
    </xf>
    <xf numFmtId="49" fontId="2" fillId="0" borderId="5" xfId="0" applyNumberFormat="1" applyFont="1" applyFill="1" applyBorder="1" applyAlignment="1">
      <alignment horizontal="justify" vertical="top"/>
    </xf>
    <xf numFmtId="49" fontId="2" fillId="0" borderId="4" xfId="0" applyNumberFormat="1" applyFont="1" applyFill="1" applyBorder="1" applyAlignment="1">
      <alignment horizontal="left" vertical="top"/>
    </xf>
    <xf numFmtId="49" fontId="2" fillId="0" borderId="6" xfId="0" applyNumberFormat="1" applyFont="1" applyFill="1" applyBorder="1" applyAlignment="1">
      <alignment horizontal="left" vertical="top"/>
    </xf>
    <xf numFmtId="49" fontId="2" fillId="0" borderId="5" xfId="0" applyNumberFormat="1" applyFont="1" applyFill="1" applyBorder="1" applyAlignment="1">
      <alignment horizontal="left" vertical="top"/>
    </xf>
    <xf numFmtId="0" fontId="0" fillId="0" borderId="6" xfId="0" applyFill="1" applyBorder="1" applyAlignment="1">
      <alignment horizontal="justify" vertical="top"/>
    </xf>
    <xf numFmtId="0" fontId="0" fillId="0" borderId="5" xfId="0" applyFill="1" applyBorder="1" applyAlignment="1">
      <alignment horizontal="justify" vertical="top"/>
    </xf>
    <xf numFmtId="43" fontId="2" fillId="6" borderId="7" xfId="2" applyFont="1" applyFill="1" applyBorder="1" applyAlignment="1">
      <alignment horizontal="right" vertical="top"/>
    </xf>
    <xf numFmtId="43" fontId="2" fillId="0" borderId="7" xfId="2" applyFont="1" applyBorder="1" applyAlignment="1">
      <alignment horizontal="right" vertical="top"/>
    </xf>
    <xf numFmtId="43" fontId="2" fillId="0" borderId="10" xfId="2" applyFont="1" applyBorder="1" applyAlignment="1">
      <alignment horizontal="right" vertical="top"/>
    </xf>
    <xf numFmtId="43" fontId="2" fillId="0" borderId="10" xfId="2" applyFont="1" applyBorder="1" applyAlignment="1">
      <alignment horizontal="center" vertical="top"/>
    </xf>
    <xf numFmtId="49" fontId="2" fillId="0" borderId="4" xfId="0" applyNumberFormat="1" applyFont="1" applyFill="1" applyBorder="1" applyAlignment="1">
      <alignment vertical="top"/>
    </xf>
    <xf numFmtId="49" fontId="2" fillId="0" borderId="6" xfId="0" applyNumberFormat="1" applyFont="1" applyFill="1" applyBorder="1" applyAlignment="1">
      <alignment vertical="top"/>
    </xf>
    <xf numFmtId="49" fontId="2" fillId="0" borderId="5" xfId="0" applyNumberFormat="1" applyFont="1" applyFill="1" applyBorder="1" applyAlignment="1">
      <alignment vertical="top"/>
    </xf>
  </cellXfs>
  <cellStyles count="3">
    <cellStyle name="Millares"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9</xdr:col>
      <xdr:colOff>824572</xdr:colOff>
      <xdr:row>2</xdr:row>
      <xdr:rowOff>180975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6730072" cy="771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
  <sheetViews>
    <sheetView view="pageBreakPreview" topLeftCell="A92" zoomScale="120" zoomScaleNormal="100" zoomScaleSheetLayoutView="120" workbookViewId="0">
      <selection activeCell="C94" sqref="C94:J94"/>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1" ht="21" customHeight="1" x14ac:dyDescent="0.25">
      <c r="A1" s="115" t="s">
        <v>461</v>
      </c>
      <c r="B1" s="2"/>
      <c r="C1" s="2"/>
      <c r="D1" s="2"/>
      <c r="E1" s="2"/>
      <c r="F1" s="2"/>
      <c r="G1" s="2"/>
      <c r="H1" s="2"/>
      <c r="I1" s="2"/>
      <c r="J1" s="97"/>
    </row>
    <row r="2" spans="1:11" ht="4.5" customHeight="1" x14ac:dyDescent="0.25">
      <c r="A2" s="116"/>
      <c r="B2" s="2"/>
      <c r="C2" s="2"/>
      <c r="D2" s="2"/>
      <c r="E2" s="2"/>
      <c r="F2" s="2"/>
      <c r="G2" s="2"/>
      <c r="H2" s="2"/>
      <c r="I2" s="2"/>
      <c r="J2" s="97"/>
    </row>
    <row r="3" spans="1:11" ht="14.25" x14ac:dyDescent="0.2">
      <c r="A3" s="117" t="s">
        <v>462</v>
      </c>
      <c r="B3" s="6"/>
      <c r="C3" s="6"/>
      <c r="D3" s="6"/>
      <c r="E3" s="6"/>
      <c r="F3" s="6"/>
      <c r="G3" s="6"/>
      <c r="H3" s="6"/>
      <c r="I3" s="6"/>
      <c r="J3" s="97"/>
    </row>
    <row r="4" spans="1:11" ht="15" x14ac:dyDescent="0.2">
      <c r="A4" s="5" t="s">
        <v>463</v>
      </c>
      <c r="B4" s="6"/>
      <c r="C4" s="6"/>
      <c r="D4" s="6"/>
      <c r="E4" s="6"/>
      <c r="F4" s="6"/>
      <c r="G4" s="6"/>
      <c r="H4" s="6"/>
      <c r="I4" s="6"/>
      <c r="J4" s="97"/>
    </row>
    <row r="5" spans="1:11" ht="6.75" customHeight="1" x14ac:dyDescent="0.35">
      <c r="A5" s="1"/>
      <c r="B5" s="1"/>
      <c r="C5" s="2"/>
      <c r="D5" s="2"/>
      <c r="E5" s="2"/>
      <c r="F5" s="2"/>
      <c r="G5" s="2"/>
      <c r="H5" s="2"/>
      <c r="I5" s="2"/>
      <c r="J5" s="2"/>
    </row>
    <row r="6" spans="1:11" x14ac:dyDescent="0.2">
      <c r="A6" s="7" t="s">
        <v>0</v>
      </c>
      <c r="B6" s="7"/>
      <c r="C6" s="8" t="s">
        <v>34</v>
      </c>
      <c r="D6" s="9"/>
      <c r="E6" s="9"/>
      <c r="F6" s="9"/>
      <c r="G6" s="10" t="s">
        <v>1</v>
      </c>
      <c r="H6" s="8" t="s">
        <v>2</v>
      </c>
      <c r="I6" s="9"/>
      <c r="J6" s="9"/>
    </row>
    <row r="7" spans="1:11" x14ac:dyDescent="0.2">
      <c r="A7" s="7" t="s">
        <v>3</v>
      </c>
      <c r="B7" s="7"/>
      <c r="C7" s="8" t="s">
        <v>4</v>
      </c>
      <c r="D7" s="9"/>
      <c r="E7" s="9"/>
      <c r="F7" s="9"/>
      <c r="G7" s="10" t="s">
        <v>5</v>
      </c>
      <c r="H7" s="8" t="s">
        <v>6</v>
      </c>
      <c r="I7" s="9"/>
      <c r="J7" s="9"/>
    </row>
    <row r="8" spans="1:11" x14ac:dyDescent="0.2">
      <c r="A8" s="7" t="s">
        <v>7</v>
      </c>
      <c r="B8" s="7"/>
      <c r="C8" s="8" t="s">
        <v>36</v>
      </c>
      <c r="D8" s="9"/>
      <c r="E8" s="9"/>
      <c r="F8" s="9"/>
      <c r="G8" s="10" t="s">
        <v>8</v>
      </c>
      <c r="H8" s="8" t="s">
        <v>36</v>
      </c>
      <c r="I8" s="9"/>
      <c r="J8" s="9"/>
    </row>
    <row r="9" spans="1:11" x14ac:dyDescent="0.2">
      <c r="A9" s="11" t="s">
        <v>29</v>
      </c>
      <c r="B9" s="11"/>
      <c r="C9" s="12"/>
      <c r="D9" s="12"/>
      <c r="E9" s="12"/>
      <c r="F9" s="12"/>
      <c r="G9" s="12"/>
      <c r="H9" s="12"/>
      <c r="I9" s="12"/>
      <c r="J9" s="12"/>
    </row>
    <row r="10" spans="1:11" ht="15" customHeight="1" x14ac:dyDescent="0.2">
      <c r="A10" s="13" t="s">
        <v>9</v>
      </c>
      <c r="B10" s="13"/>
      <c r="C10" s="14"/>
      <c r="D10" s="14"/>
      <c r="E10" s="14"/>
      <c r="F10" s="14"/>
      <c r="G10" s="14"/>
      <c r="H10" s="14"/>
      <c r="I10" s="14"/>
      <c r="J10" s="14"/>
    </row>
    <row r="11" spans="1:11" ht="12" customHeight="1" x14ac:dyDescent="0.2">
      <c r="A11" s="15" t="s">
        <v>10</v>
      </c>
      <c r="B11" s="15"/>
      <c r="C11" s="16" t="s">
        <v>455</v>
      </c>
    </row>
    <row r="12" spans="1:11" ht="10.15" customHeight="1" x14ac:dyDescent="0.2">
      <c r="A12" s="15" t="s">
        <v>11</v>
      </c>
      <c r="B12" s="15"/>
      <c r="C12" s="3" t="s">
        <v>12</v>
      </c>
      <c r="G12" s="15"/>
      <c r="I12" s="15" t="s">
        <v>13</v>
      </c>
    </row>
    <row r="13" spans="1:11" ht="10.15" customHeight="1" x14ac:dyDescent="0.2">
      <c r="A13" s="15" t="s">
        <v>14</v>
      </c>
      <c r="B13" s="15"/>
      <c r="C13" s="16" t="s">
        <v>35</v>
      </c>
      <c r="G13" s="15"/>
      <c r="I13" s="15" t="s">
        <v>15</v>
      </c>
    </row>
    <row r="14" spans="1:11" ht="10.15" customHeight="1" x14ac:dyDescent="0.2">
      <c r="A14" s="15" t="s">
        <v>16</v>
      </c>
      <c r="B14" s="15"/>
      <c r="C14" s="17">
        <f>J133</f>
        <v>2273322.9267912088</v>
      </c>
      <c r="E14" s="15" t="s">
        <v>17</v>
      </c>
      <c r="F14" s="3" t="s">
        <v>18</v>
      </c>
      <c r="G14" s="15"/>
      <c r="I14" s="15"/>
      <c r="J14" s="18"/>
    </row>
    <row r="15" spans="1:11" x14ac:dyDescent="0.2">
      <c r="A15" s="19" t="s">
        <v>19</v>
      </c>
      <c r="B15" s="20"/>
      <c r="C15" s="21" t="s">
        <v>20</v>
      </c>
      <c r="D15" s="21"/>
      <c r="E15" s="21"/>
      <c r="F15" s="20"/>
      <c r="G15" s="22" t="s">
        <v>21</v>
      </c>
      <c r="H15" s="23" t="s">
        <v>22</v>
      </c>
      <c r="I15" s="23" t="s">
        <v>23</v>
      </c>
      <c r="J15" s="23" t="s">
        <v>24</v>
      </c>
    </row>
    <row r="16" spans="1:11" x14ac:dyDescent="0.2">
      <c r="A16" s="24" t="s">
        <v>25</v>
      </c>
      <c r="B16" s="25"/>
      <c r="C16" s="26"/>
      <c r="D16" s="26"/>
      <c r="E16" s="26"/>
      <c r="F16" s="26"/>
      <c r="G16" s="26"/>
      <c r="H16" s="27"/>
      <c r="I16" s="27"/>
      <c r="J16" s="28"/>
      <c r="K16" s="3" t="s">
        <v>77</v>
      </c>
    </row>
    <row r="17" spans="1:12" s="29" customFormat="1" ht="109.5" customHeight="1" x14ac:dyDescent="0.25">
      <c r="A17" s="143" t="s">
        <v>28</v>
      </c>
      <c r="B17" s="56"/>
      <c r="C17" s="157" t="s">
        <v>78</v>
      </c>
      <c r="D17" s="158"/>
      <c r="E17" s="158"/>
      <c r="F17" s="158"/>
      <c r="G17" s="57" t="s">
        <v>46</v>
      </c>
      <c r="H17" s="58">
        <v>244.35</v>
      </c>
      <c r="I17" s="59">
        <v>24.32</v>
      </c>
      <c r="J17" s="60">
        <f>I17*H17</f>
        <v>5942.5919999999996</v>
      </c>
      <c r="K17" s="29">
        <v>300</v>
      </c>
      <c r="L17" s="29">
        <v>243.16</v>
      </c>
    </row>
    <row r="18" spans="1:12" s="29" customFormat="1" ht="132.75" customHeight="1" x14ac:dyDescent="0.25">
      <c r="A18" s="143" t="s">
        <v>30</v>
      </c>
      <c r="B18" s="56"/>
      <c r="C18" s="157" t="s">
        <v>79</v>
      </c>
      <c r="D18" s="158"/>
      <c r="E18" s="158"/>
      <c r="F18" s="158"/>
      <c r="G18" s="57" t="s">
        <v>46</v>
      </c>
      <c r="H18" s="58">
        <v>277.52</v>
      </c>
      <c r="I18" s="59">
        <v>28.3</v>
      </c>
      <c r="J18" s="60">
        <f>I18*H18</f>
        <v>7853.8159999999998</v>
      </c>
      <c r="K18" s="29">
        <v>300</v>
      </c>
    </row>
    <row r="19" spans="1:12" s="29" customFormat="1" ht="142.5" customHeight="1" x14ac:dyDescent="0.25">
      <c r="A19" s="143" t="s">
        <v>31</v>
      </c>
      <c r="B19" s="56"/>
      <c r="C19" s="158" t="s">
        <v>81</v>
      </c>
      <c r="D19" s="158"/>
      <c r="E19" s="158"/>
      <c r="F19" s="158"/>
      <c r="G19" s="57" t="s">
        <v>46</v>
      </c>
      <c r="H19" s="58">
        <v>221.39</v>
      </c>
      <c r="I19" s="59">
        <v>97.15</v>
      </c>
      <c r="J19" s="60">
        <f>I19*H19</f>
        <v>21508.038499999999</v>
      </c>
    </row>
    <row r="20" spans="1:12" s="29" customFormat="1" ht="143.25" customHeight="1" x14ac:dyDescent="0.25">
      <c r="A20" s="141" t="s">
        <v>32</v>
      </c>
      <c r="B20" s="56"/>
      <c r="C20" s="158" t="s">
        <v>91</v>
      </c>
      <c r="D20" s="158"/>
      <c r="E20" s="158"/>
      <c r="F20" s="158"/>
      <c r="G20" s="57" t="s">
        <v>46</v>
      </c>
      <c r="H20" s="58">
        <v>2.4700000000000002</v>
      </c>
      <c r="I20" s="59">
        <v>389</v>
      </c>
      <c r="J20" s="60">
        <f>I20*H20</f>
        <v>960.83</v>
      </c>
    </row>
    <row r="21" spans="1:12" s="29" customFormat="1" ht="141" customHeight="1" x14ac:dyDescent="0.25">
      <c r="A21" s="141" t="s">
        <v>33</v>
      </c>
      <c r="B21" s="56"/>
      <c r="C21" s="158" t="s">
        <v>92</v>
      </c>
      <c r="D21" s="158"/>
      <c r="E21" s="158"/>
      <c r="F21" s="158"/>
      <c r="G21" s="57" t="s">
        <v>46</v>
      </c>
      <c r="H21" s="58">
        <v>2.06</v>
      </c>
      <c r="I21" s="59">
        <v>315.2</v>
      </c>
      <c r="J21" s="60">
        <f>I21*H21</f>
        <v>649.31200000000001</v>
      </c>
    </row>
    <row r="22" spans="1:12" s="29" customFormat="1" ht="129" customHeight="1" x14ac:dyDescent="0.25">
      <c r="A22" s="141" t="s">
        <v>37</v>
      </c>
      <c r="B22" s="56"/>
      <c r="C22" s="158" t="s">
        <v>101</v>
      </c>
      <c r="D22" s="158"/>
      <c r="E22" s="158"/>
      <c r="F22" s="158"/>
      <c r="G22" s="57" t="s">
        <v>46</v>
      </c>
      <c r="H22" s="58">
        <v>681.19</v>
      </c>
      <c r="I22" s="59">
        <v>32.26</v>
      </c>
      <c r="J22" s="60">
        <f t="shared" ref="J22" si="0">I22*H22</f>
        <v>21975.189399999999</v>
      </c>
    </row>
    <row r="23" spans="1:12" s="29" customFormat="1" ht="114" customHeight="1" x14ac:dyDescent="0.25">
      <c r="A23" s="141" t="s">
        <v>38</v>
      </c>
      <c r="B23" s="56"/>
      <c r="C23" s="158" t="s">
        <v>102</v>
      </c>
      <c r="D23" s="158"/>
      <c r="E23" s="158"/>
      <c r="F23" s="158"/>
      <c r="G23" s="57" t="s">
        <v>49</v>
      </c>
      <c r="H23" s="58">
        <v>96</v>
      </c>
      <c r="I23" s="59">
        <v>86.3</v>
      </c>
      <c r="J23" s="60">
        <f t="shared" ref="J23" si="1">I23*H23</f>
        <v>8284.7999999999993</v>
      </c>
    </row>
    <row r="24" spans="1:12" s="29" customFormat="1" ht="114" customHeight="1" x14ac:dyDescent="0.25">
      <c r="A24" s="141" t="s">
        <v>39</v>
      </c>
      <c r="B24" s="56"/>
      <c r="C24" s="158" t="s">
        <v>103</v>
      </c>
      <c r="D24" s="158"/>
      <c r="E24" s="158"/>
      <c r="F24" s="158"/>
      <c r="G24" s="57" t="s">
        <v>49</v>
      </c>
      <c r="H24" s="58">
        <v>23</v>
      </c>
      <c r="I24" s="59">
        <v>98.15</v>
      </c>
      <c r="J24" s="60">
        <f t="shared" ref="J24:J25" si="2">I24*H24</f>
        <v>2257.4500000000003</v>
      </c>
    </row>
    <row r="25" spans="1:12" s="29" customFormat="1" ht="120" customHeight="1" x14ac:dyDescent="0.25">
      <c r="A25" s="55" t="s">
        <v>40</v>
      </c>
      <c r="B25" s="56"/>
      <c r="C25" s="158" t="s">
        <v>151</v>
      </c>
      <c r="D25" s="158"/>
      <c r="E25" s="158"/>
      <c r="F25" s="158"/>
      <c r="G25" s="57" t="s">
        <v>46</v>
      </c>
      <c r="H25" s="58">
        <v>32.200000000000003</v>
      </c>
      <c r="I25" s="59">
        <v>386</v>
      </c>
      <c r="J25" s="60">
        <f t="shared" si="2"/>
        <v>12429.2</v>
      </c>
      <c r="L25" s="29">
        <v>32.22</v>
      </c>
    </row>
    <row r="26" spans="1:12" s="29" customFormat="1" ht="120" customHeight="1" x14ac:dyDescent="0.25">
      <c r="A26" s="141" t="s">
        <v>41</v>
      </c>
      <c r="B26" s="56"/>
      <c r="C26" s="158" t="s">
        <v>186</v>
      </c>
      <c r="D26" s="158"/>
      <c r="E26" s="158"/>
      <c r="F26" s="158"/>
      <c r="G26" s="57" t="s">
        <v>46</v>
      </c>
      <c r="H26" s="58">
        <v>77.45</v>
      </c>
      <c r="I26" s="59">
        <v>196.3</v>
      </c>
      <c r="J26" s="60">
        <f t="shared" ref="J26" si="3">I26*H26</f>
        <v>15203.435000000001</v>
      </c>
    </row>
    <row r="27" spans="1:12" s="29" customFormat="1" ht="103.5" customHeight="1" x14ac:dyDescent="0.25">
      <c r="A27" s="141" t="s">
        <v>42</v>
      </c>
      <c r="B27" s="68"/>
      <c r="C27" s="158" t="s">
        <v>104</v>
      </c>
      <c r="D27" s="158"/>
      <c r="E27" s="158"/>
      <c r="F27" s="158"/>
      <c r="G27" s="57" t="s">
        <v>46</v>
      </c>
      <c r="H27" s="58">
        <v>681.19</v>
      </c>
      <c r="I27" s="67">
        <v>87.15</v>
      </c>
      <c r="J27" s="60">
        <f t="shared" ref="J27" si="4">H27*I27</f>
        <v>59365.708500000008</v>
      </c>
    </row>
    <row r="28" spans="1:12" s="29" customFormat="1" ht="114.75" customHeight="1" x14ac:dyDescent="0.25">
      <c r="A28" s="141" t="s">
        <v>43</v>
      </c>
      <c r="B28" s="68"/>
      <c r="C28" s="158" t="s">
        <v>105</v>
      </c>
      <c r="D28" s="158"/>
      <c r="E28" s="158"/>
      <c r="F28" s="158"/>
      <c r="G28" s="57" t="s">
        <v>46</v>
      </c>
      <c r="H28" s="58">
        <v>244.35</v>
      </c>
      <c r="I28" s="67">
        <v>87.15</v>
      </c>
      <c r="J28" s="60">
        <f t="shared" ref="J28:J29" si="5">H28*I28</f>
        <v>21295.102500000001</v>
      </c>
      <c r="L28" s="29">
        <v>243.16</v>
      </c>
    </row>
    <row r="29" spans="1:12" s="29" customFormat="1" ht="117" customHeight="1" x14ac:dyDescent="0.25">
      <c r="A29" s="141" t="s">
        <v>44</v>
      </c>
      <c r="B29" s="68"/>
      <c r="C29" s="158" t="s">
        <v>138</v>
      </c>
      <c r="D29" s="158"/>
      <c r="E29" s="158"/>
      <c r="F29" s="158"/>
      <c r="G29" s="57" t="s">
        <v>49</v>
      </c>
      <c r="H29" s="58">
        <v>12</v>
      </c>
      <c r="I29" s="67">
        <v>535</v>
      </c>
      <c r="J29" s="60">
        <f t="shared" si="5"/>
        <v>6420</v>
      </c>
    </row>
    <row r="30" spans="1:12" s="29" customFormat="1" ht="114" customHeight="1" x14ac:dyDescent="0.25">
      <c r="A30" s="55" t="s">
        <v>45</v>
      </c>
      <c r="B30" s="56"/>
      <c r="C30" s="157" t="s">
        <v>188</v>
      </c>
      <c r="D30" s="158"/>
      <c r="E30" s="158"/>
      <c r="F30" s="158"/>
      <c r="G30" s="57" t="s">
        <v>46</v>
      </c>
      <c r="H30" s="58">
        <f>71.59+19.87</f>
        <v>91.460000000000008</v>
      </c>
      <c r="I30" s="59">
        <v>75.3</v>
      </c>
      <c r="J30" s="60">
        <f t="shared" ref="J30:J37" si="6">I30*H30</f>
        <v>6886.9380000000001</v>
      </c>
      <c r="K30" s="29">
        <v>71.59</v>
      </c>
    </row>
    <row r="31" spans="1:12" s="29" customFormat="1" ht="139.5" customHeight="1" x14ac:dyDescent="0.25">
      <c r="A31" s="141" t="s">
        <v>50</v>
      </c>
      <c r="B31" s="56"/>
      <c r="C31" s="157" t="s">
        <v>106</v>
      </c>
      <c r="D31" s="158"/>
      <c r="E31" s="158"/>
      <c r="F31" s="158"/>
      <c r="G31" s="57" t="s">
        <v>46</v>
      </c>
      <c r="H31" s="58">
        <f>71.59+252.83+19.87</f>
        <v>344.29</v>
      </c>
      <c r="I31" s="59">
        <f>(465+150*1.3+150)/0.7</f>
        <v>1157.1428571428571</v>
      </c>
      <c r="J31" s="60">
        <f t="shared" si="6"/>
        <v>398392.71428571432</v>
      </c>
      <c r="K31" s="29">
        <v>300</v>
      </c>
    </row>
    <row r="32" spans="1:12" s="29" customFormat="1" ht="125.25" customHeight="1" x14ac:dyDescent="0.25">
      <c r="A32" s="141" t="s">
        <v>51</v>
      </c>
      <c r="B32" s="56"/>
      <c r="C32" s="157" t="s">
        <v>107</v>
      </c>
      <c r="D32" s="158"/>
      <c r="E32" s="158"/>
      <c r="F32" s="158"/>
      <c r="G32" s="57" t="s">
        <v>48</v>
      </c>
      <c r="H32" s="58">
        <v>186.86</v>
      </c>
      <c r="I32" s="59">
        <v>96.3</v>
      </c>
      <c r="J32" s="60">
        <f t="shared" si="6"/>
        <v>17994.618000000002</v>
      </c>
      <c r="K32" s="29">
        <v>300</v>
      </c>
    </row>
    <row r="33" spans="1:10" s="29" customFormat="1" ht="92.25" customHeight="1" x14ac:dyDescent="0.25">
      <c r="A33" s="55" t="s">
        <v>52</v>
      </c>
      <c r="B33" s="56"/>
      <c r="C33" s="158" t="s">
        <v>127</v>
      </c>
      <c r="D33" s="158"/>
      <c r="E33" s="158"/>
      <c r="F33" s="158"/>
      <c r="G33" s="57" t="s">
        <v>49</v>
      </c>
      <c r="H33" s="58">
        <v>15</v>
      </c>
      <c r="I33" s="59">
        <v>76.3</v>
      </c>
      <c r="J33" s="60">
        <f t="shared" si="6"/>
        <v>1144.5</v>
      </c>
    </row>
    <row r="34" spans="1:10" s="29" customFormat="1" ht="105" customHeight="1" x14ac:dyDescent="0.25">
      <c r="A34" s="55" t="s">
        <v>53</v>
      </c>
      <c r="B34" s="56"/>
      <c r="C34" s="158" t="s">
        <v>80</v>
      </c>
      <c r="D34" s="158"/>
      <c r="E34" s="158"/>
      <c r="F34" s="158"/>
      <c r="G34" s="57" t="s">
        <v>46</v>
      </c>
      <c r="H34" s="58">
        <v>15.57</v>
      </c>
      <c r="I34" s="59">
        <v>65</v>
      </c>
      <c r="J34" s="60">
        <f t="shared" si="6"/>
        <v>1012.0500000000001</v>
      </c>
    </row>
    <row r="35" spans="1:10" s="29" customFormat="1" ht="105" customHeight="1" x14ac:dyDescent="0.25">
      <c r="A35" s="55" t="s">
        <v>54</v>
      </c>
      <c r="B35" s="56"/>
      <c r="C35" s="158" t="s">
        <v>189</v>
      </c>
      <c r="D35" s="158"/>
      <c r="E35" s="158"/>
      <c r="F35" s="158"/>
      <c r="G35" s="57" t="s">
        <v>49</v>
      </c>
      <c r="H35" s="58">
        <v>28</v>
      </c>
      <c r="I35" s="59">
        <v>167</v>
      </c>
      <c r="J35" s="60">
        <f t="shared" si="6"/>
        <v>4676</v>
      </c>
    </row>
    <row r="36" spans="1:10" s="83" customFormat="1" ht="92.25" customHeight="1" x14ac:dyDescent="0.25">
      <c r="A36" s="55" t="s">
        <v>55</v>
      </c>
      <c r="B36" s="88"/>
      <c r="C36" s="148" t="s">
        <v>82</v>
      </c>
      <c r="D36" s="148"/>
      <c r="E36" s="148"/>
      <c r="F36" s="148"/>
      <c r="G36" s="79" t="s">
        <v>46</v>
      </c>
      <c r="H36" s="80">
        <v>8.84</v>
      </c>
      <c r="I36" s="89">
        <v>115</v>
      </c>
      <c r="J36" s="82">
        <f t="shared" si="6"/>
        <v>1016.6</v>
      </c>
    </row>
    <row r="37" spans="1:10" s="83" customFormat="1" ht="69.75" customHeight="1" x14ac:dyDescent="0.25">
      <c r="A37" s="141" t="s">
        <v>56</v>
      </c>
      <c r="B37" s="88"/>
      <c r="C37" s="148" t="s">
        <v>83</v>
      </c>
      <c r="D37" s="148"/>
      <c r="E37" s="148"/>
      <c r="F37" s="148"/>
      <c r="G37" s="79" t="s">
        <v>47</v>
      </c>
      <c r="H37" s="80">
        <v>23.02</v>
      </c>
      <c r="I37" s="89">
        <v>495</v>
      </c>
      <c r="J37" s="82">
        <f t="shared" si="6"/>
        <v>11394.9</v>
      </c>
    </row>
    <row r="38" spans="1:10" s="83" customFormat="1" ht="114.75" customHeight="1" x14ac:dyDescent="0.25">
      <c r="A38" s="55" t="s">
        <v>57</v>
      </c>
      <c r="B38" s="78"/>
      <c r="C38" s="148" t="s">
        <v>192</v>
      </c>
      <c r="D38" s="148"/>
      <c r="E38" s="148"/>
      <c r="F38" s="148"/>
      <c r="G38" s="79" t="s">
        <v>49</v>
      </c>
      <c r="H38" s="80">
        <v>1</v>
      </c>
      <c r="I38" s="81">
        <f>6500*1.3/0.7</f>
        <v>12071.428571428572</v>
      </c>
      <c r="J38" s="82">
        <f t="shared" ref="J38:J39" si="7">H38*I38</f>
        <v>12071.428571428572</v>
      </c>
    </row>
    <row r="39" spans="1:10" s="83" customFormat="1" ht="126" customHeight="1" x14ac:dyDescent="0.25">
      <c r="A39" s="55" t="s">
        <v>58</v>
      </c>
      <c r="B39" s="78"/>
      <c r="C39" s="148" t="s">
        <v>405</v>
      </c>
      <c r="D39" s="148"/>
      <c r="E39" s="148"/>
      <c r="F39" s="148"/>
      <c r="G39" s="79" t="s">
        <v>49</v>
      </c>
      <c r="H39" s="80">
        <v>1</v>
      </c>
      <c r="I39" s="81">
        <f>3800*1.3/0.7</f>
        <v>7057.1428571428578</v>
      </c>
      <c r="J39" s="82">
        <f t="shared" si="7"/>
        <v>7057.1428571428578</v>
      </c>
    </row>
    <row r="40" spans="1:10" s="83" customFormat="1" ht="138" customHeight="1" x14ac:dyDescent="0.25">
      <c r="A40" s="55" t="s">
        <v>59</v>
      </c>
      <c r="B40" s="78"/>
      <c r="C40" s="148" t="s">
        <v>406</v>
      </c>
      <c r="D40" s="148"/>
      <c r="E40" s="148"/>
      <c r="F40" s="148"/>
      <c r="G40" s="79" t="s">
        <v>49</v>
      </c>
      <c r="H40" s="80">
        <v>1</v>
      </c>
      <c r="I40" s="81">
        <f>2815*1.3/0.7</f>
        <v>5227.8571428571431</v>
      </c>
      <c r="J40" s="82">
        <f t="shared" ref="J40" si="8">H40*I40</f>
        <v>5227.8571428571431</v>
      </c>
    </row>
    <row r="41" spans="1:10" s="83" customFormat="1" ht="101.25" customHeight="1" x14ac:dyDescent="0.25">
      <c r="A41" s="55" t="s">
        <v>60</v>
      </c>
      <c r="B41" s="78"/>
      <c r="C41" s="148" t="s">
        <v>84</v>
      </c>
      <c r="D41" s="148"/>
      <c r="E41" s="148"/>
      <c r="F41" s="148"/>
      <c r="G41" s="79" t="s">
        <v>48</v>
      </c>
      <c r="H41" s="80">
        <v>29.3</v>
      </c>
      <c r="I41" s="81">
        <v>551.58000000000004</v>
      </c>
      <c r="J41" s="82">
        <f t="shared" ref="J41" si="9">H41*I41</f>
        <v>16161.294000000002</v>
      </c>
    </row>
    <row r="42" spans="1:10" s="83" customFormat="1" ht="112.5" customHeight="1" x14ac:dyDescent="0.25">
      <c r="A42" s="55" t="s">
        <v>61</v>
      </c>
      <c r="B42" s="88"/>
      <c r="C42" s="148" t="s">
        <v>85</v>
      </c>
      <c r="D42" s="148"/>
      <c r="E42" s="148"/>
      <c r="F42" s="148"/>
      <c r="G42" s="79" t="s">
        <v>48</v>
      </c>
      <c r="H42" s="80">
        <v>35.18</v>
      </c>
      <c r="I42" s="89">
        <f>1135/0.7</f>
        <v>1621.4285714285716</v>
      </c>
      <c r="J42" s="82">
        <f>I42*H42</f>
        <v>57041.857142857145</v>
      </c>
    </row>
    <row r="43" spans="1:10" s="83" customFormat="1" ht="100.5" customHeight="1" x14ac:dyDescent="0.25">
      <c r="A43" s="55" t="s">
        <v>62</v>
      </c>
      <c r="B43" s="88"/>
      <c r="C43" s="152" t="s">
        <v>86</v>
      </c>
      <c r="D43" s="153"/>
      <c r="E43" s="153"/>
      <c r="F43" s="153"/>
      <c r="G43" s="79" t="s">
        <v>46</v>
      </c>
      <c r="H43" s="80">
        <v>9.69</v>
      </c>
      <c r="I43" s="89">
        <v>49.59</v>
      </c>
      <c r="J43" s="82">
        <f>I43*H43</f>
        <v>480.52710000000002</v>
      </c>
    </row>
    <row r="44" spans="1:10" s="83" customFormat="1" ht="93" customHeight="1" x14ac:dyDescent="0.25">
      <c r="A44" s="55" t="s">
        <v>63</v>
      </c>
      <c r="B44" s="88"/>
      <c r="C44" s="152" t="s">
        <v>87</v>
      </c>
      <c r="D44" s="153"/>
      <c r="E44" s="153"/>
      <c r="F44" s="153"/>
      <c r="G44" s="79" t="s">
        <v>46</v>
      </c>
      <c r="H44" s="80">
        <v>7.26</v>
      </c>
      <c r="I44" s="89">
        <v>387</v>
      </c>
      <c r="J44" s="82">
        <f t="shared" ref="J44:J86" si="10">I44*H44</f>
        <v>2809.62</v>
      </c>
    </row>
    <row r="45" spans="1:10" s="83" customFormat="1" ht="93" customHeight="1" x14ac:dyDescent="0.25">
      <c r="A45" s="55" t="s">
        <v>64</v>
      </c>
      <c r="B45" s="88"/>
      <c r="C45" s="152" t="s">
        <v>88</v>
      </c>
      <c r="D45" s="153"/>
      <c r="E45" s="153"/>
      <c r="F45" s="153"/>
      <c r="G45" s="79" t="s">
        <v>46</v>
      </c>
      <c r="H45" s="80">
        <v>9.5</v>
      </c>
      <c r="I45" s="89">
        <v>418.2</v>
      </c>
      <c r="J45" s="82">
        <f t="shared" si="10"/>
        <v>3972.9</v>
      </c>
    </row>
    <row r="46" spans="1:10" s="83" customFormat="1" ht="93" customHeight="1" x14ac:dyDescent="0.25">
      <c r="A46" s="55" t="s">
        <v>65</v>
      </c>
      <c r="B46" s="88"/>
      <c r="C46" s="152" t="s">
        <v>89</v>
      </c>
      <c r="D46" s="153"/>
      <c r="E46" s="153"/>
      <c r="F46" s="153"/>
      <c r="G46" s="79" t="s">
        <v>46</v>
      </c>
      <c r="H46" s="80">
        <v>55.99</v>
      </c>
      <c r="I46" s="89">
        <v>425.3</v>
      </c>
      <c r="J46" s="82">
        <f t="shared" ref="J46" si="11">I46*H46</f>
        <v>23812.547000000002</v>
      </c>
    </row>
    <row r="47" spans="1:10" s="83" customFormat="1" ht="113.25" customHeight="1" x14ac:dyDescent="0.25">
      <c r="A47" s="55" t="s">
        <v>68</v>
      </c>
      <c r="B47" s="88"/>
      <c r="C47" s="152" t="s">
        <v>108</v>
      </c>
      <c r="D47" s="153"/>
      <c r="E47" s="153"/>
      <c r="F47" s="153"/>
      <c r="G47" s="79" t="s">
        <v>49</v>
      </c>
      <c r="H47" s="80">
        <v>13</v>
      </c>
      <c r="I47" s="89">
        <v>9315</v>
      </c>
      <c r="J47" s="82">
        <f t="shared" si="10"/>
        <v>121095</v>
      </c>
    </row>
    <row r="48" spans="1:10" s="83" customFormat="1" ht="138.75" customHeight="1" x14ac:dyDescent="0.25">
      <c r="A48" s="55" t="s">
        <v>69</v>
      </c>
      <c r="B48" s="88"/>
      <c r="C48" s="149" t="s">
        <v>194</v>
      </c>
      <c r="D48" s="150"/>
      <c r="E48" s="150"/>
      <c r="F48" s="151"/>
      <c r="G48" s="79" t="s">
        <v>49</v>
      </c>
      <c r="H48" s="80">
        <v>2</v>
      </c>
      <c r="I48" s="89">
        <v>8615.25</v>
      </c>
      <c r="J48" s="82">
        <f t="shared" ref="J48" si="12">I48*H48</f>
        <v>17230.5</v>
      </c>
    </row>
    <row r="49" spans="1:10" s="83" customFormat="1" ht="113.25" customHeight="1" x14ac:dyDescent="0.25">
      <c r="A49" s="55" t="s">
        <v>70</v>
      </c>
      <c r="B49" s="88"/>
      <c r="C49" s="152" t="s">
        <v>193</v>
      </c>
      <c r="D49" s="153"/>
      <c r="E49" s="153"/>
      <c r="F49" s="153"/>
      <c r="G49" s="79" t="s">
        <v>49</v>
      </c>
      <c r="H49" s="80">
        <v>1</v>
      </c>
      <c r="I49" s="89">
        <f>3900*1.3/0.7</f>
        <v>7242.8571428571431</v>
      </c>
      <c r="J49" s="82">
        <f t="shared" ref="J49" si="13">I49*H49</f>
        <v>7242.8571428571431</v>
      </c>
    </row>
    <row r="50" spans="1:10" s="83" customFormat="1" ht="130.5" customHeight="1" x14ac:dyDescent="0.25">
      <c r="A50" s="55" t="s">
        <v>71</v>
      </c>
      <c r="B50" s="88"/>
      <c r="C50" s="152" t="s">
        <v>109</v>
      </c>
      <c r="D50" s="153"/>
      <c r="E50" s="153"/>
      <c r="F50" s="153"/>
      <c r="G50" s="79" t="s">
        <v>49</v>
      </c>
      <c r="H50" s="80">
        <v>1</v>
      </c>
      <c r="I50" s="89">
        <f>4550*1.3/0.7+500</f>
        <v>8950</v>
      </c>
      <c r="J50" s="82">
        <f t="shared" ref="J50:J51" si="14">I50*H50</f>
        <v>8950</v>
      </c>
    </row>
    <row r="51" spans="1:10" s="83" customFormat="1" ht="126" customHeight="1" x14ac:dyDescent="0.25">
      <c r="A51" s="55" t="s">
        <v>72</v>
      </c>
      <c r="B51" s="88"/>
      <c r="C51" s="152" t="s">
        <v>195</v>
      </c>
      <c r="D51" s="153"/>
      <c r="E51" s="153"/>
      <c r="F51" s="153"/>
      <c r="G51" s="79" t="s">
        <v>49</v>
      </c>
      <c r="H51" s="80">
        <v>5</v>
      </c>
      <c r="I51" s="89">
        <v>2318</v>
      </c>
      <c r="J51" s="82">
        <f t="shared" si="14"/>
        <v>11590</v>
      </c>
    </row>
    <row r="52" spans="1:10" s="83" customFormat="1" ht="126" customHeight="1" x14ac:dyDescent="0.25">
      <c r="A52" s="141" t="s">
        <v>73</v>
      </c>
      <c r="B52" s="142"/>
      <c r="C52" s="152" t="s">
        <v>134</v>
      </c>
      <c r="D52" s="153"/>
      <c r="E52" s="153"/>
      <c r="F52" s="153"/>
      <c r="G52" s="79" t="s">
        <v>49</v>
      </c>
      <c r="H52" s="80">
        <v>8</v>
      </c>
      <c r="I52" s="89">
        <v>1986</v>
      </c>
      <c r="J52" s="82">
        <f t="shared" ref="J52" si="15">I52*H52</f>
        <v>15888</v>
      </c>
    </row>
    <row r="53" spans="1:10" s="83" customFormat="1" ht="130.5" customHeight="1" x14ac:dyDescent="0.25">
      <c r="A53" s="141" t="s">
        <v>74</v>
      </c>
      <c r="B53" s="142"/>
      <c r="C53" s="152" t="s">
        <v>90</v>
      </c>
      <c r="D53" s="153"/>
      <c r="E53" s="153"/>
      <c r="F53" s="153"/>
      <c r="G53" s="79" t="s">
        <v>49</v>
      </c>
      <c r="H53" s="80">
        <v>1</v>
      </c>
      <c r="I53" s="89">
        <f>12880*1.3/0.7</f>
        <v>23920</v>
      </c>
      <c r="J53" s="82">
        <f t="shared" ref="J53:J56" si="16">I53*H53</f>
        <v>23920</v>
      </c>
    </row>
    <row r="54" spans="1:10" s="83" customFormat="1" ht="114.75" customHeight="1" x14ac:dyDescent="0.25">
      <c r="A54" s="141" t="s">
        <v>75</v>
      </c>
      <c r="B54" s="142"/>
      <c r="C54" s="152" t="s">
        <v>214</v>
      </c>
      <c r="D54" s="153"/>
      <c r="E54" s="153"/>
      <c r="F54" s="153"/>
      <c r="G54" s="79" t="s">
        <v>49</v>
      </c>
      <c r="H54" s="80">
        <v>1</v>
      </c>
      <c r="I54" s="89">
        <f>14880/0.7*1.3</f>
        <v>27634.285714285717</v>
      </c>
      <c r="J54" s="82">
        <f t="shared" si="16"/>
        <v>27634.285714285717</v>
      </c>
    </row>
    <row r="55" spans="1:10" s="83" customFormat="1" ht="114.75" customHeight="1" x14ac:dyDescent="0.25">
      <c r="A55" s="141" t="s">
        <v>76</v>
      </c>
      <c r="B55" s="142"/>
      <c r="C55" s="152" t="s">
        <v>215</v>
      </c>
      <c r="D55" s="153"/>
      <c r="E55" s="153"/>
      <c r="F55" s="153"/>
      <c r="G55" s="79" t="s">
        <v>49</v>
      </c>
      <c r="H55" s="80">
        <v>1</v>
      </c>
      <c r="I55" s="89">
        <v>19454</v>
      </c>
      <c r="J55" s="82">
        <f t="shared" si="16"/>
        <v>19454</v>
      </c>
    </row>
    <row r="56" spans="1:10" s="83" customFormat="1" ht="126" customHeight="1" x14ac:dyDescent="0.25">
      <c r="A56" s="141" t="s">
        <v>98</v>
      </c>
      <c r="B56" s="142"/>
      <c r="C56" s="152" t="s">
        <v>136</v>
      </c>
      <c r="D56" s="153"/>
      <c r="E56" s="153"/>
      <c r="F56" s="153"/>
      <c r="G56" s="79" t="s">
        <v>49</v>
      </c>
      <c r="H56" s="80">
        <v>26</v>
      </c>
      <c r="I56" s="89">
        <v>1863</v>
      </c>
      <c r="J56" s="82">
        <f t="shared" si="16"/>
        <v>48438</v>
      </c>
    </row>
    <row r="57" spans="1:10" s="83" customFormat="1" ht="147.75" customHeight="1" x14ac:dyDescent="0.25">
      <c r="A57" s="55" t="s">
        <v>100</v>
      </c>
      <c r="B57" s="88"/>
      <c r="C57" s="148" t="s">
        <v>93</v>
      </c>
      <c r="D57" s="148"/>
      <c r="E57" s="148"/>
      <c r="F57" s="148"/>
      <c r="G57" s="79" t="s">
        <v>49</v>
      </c>
      <c r="H57" s="80">
        <v>2</v>
      </c>
      <c r="I57" s="89">
        <f>680*1.3/0.7</f>
        <v>1262.8571428571429</v>
      </c>
      <c r="J57" s="82">
        <f t="shared" si="10"/>
        <v>2525.7142857142858</v>
      </c>
    </row>
    <row r="58" spans="1:10" s="83" customFormat="1" ht="95.25" customHeight="1" x14ac:dyDescent="0.25">
      <c r="A58" s="55" t="s">
        <v>152</v>
      </c>
      <c r="B58" s="88"/>
      <c r="C58" s="148" t="s">
        <v>222</v>
      </c>
      <c r="D58" s="148"/>
      <c r="E58" s="148"/>
      <c r="F58" s="148"/>
      <c r="G58" s="79" t="s">
        <v>49</v>
      </c>
      <c r="H58" s="80">
        <v>2</v>
      </c>
      <c r="I58" s="89">
        <v>196</v>
      </c>
      <c r="J58" s="82">
        <f t="shared" ref="J58:J59" si="17">I58*H58</f>
        <v>392</v>
      </c>
    </row>
    <row r="59" spans="1:10" s="83" customFormat="1" ht="103.5" customHeight="1" x14ac:dyDescent="0.25">
      <c r="A59" s="55" t="s">
        <v>153</v>
      </c>
      <c r="B59" s="88"/>
      <c r="C59" s="148" t="s">
        <v>223</v>
      </c>
      <c r="D59" s="148"/>
      <c r="E59" s="148"/>
      <c r="F59" s="148"/>
      <c r="G59" s="79" t="s">
        <v>49</v>
      </c>
      <c r="H59" s="80">
        <v>58</v>
      </c>
      <c r="I59" s="89">
        <v>245</v>
      </c>
      <c r="J59" s="82">
        <f t="shared" si="17"/>
        <v>14210</v>
      </c>
    </row>
    <row r="60" spans="1:10" s="83" customFormat="1" ht="103.5" customHeight="1" x14ac:dyDescent="0.25">
      <c r="A60" s="55" t="s">
        <v>154</v>
      </c>
      <c r="B60" s="88"/>
      <c r="C60" s="148" t="s">
        <v>224</v>
      </c>
      <c r="D60" s="148"/>
      <c r="E60" s="148"/>
      <c r="F60" s="148"/>
      <c r="G60" s="79" t="s">
        <v>48</v>
      </c>
      <c r="H60" s="80">
        <v>9.31</v>
      </c>
      <c r="I60" s="89">
        <v>215</v>
      </c>
      <c r="J60" s="82">
        <f t="shared" si="10"/>
        <v>2001.65</v>
      </c>
    </row>
    <row r="61" spans="1:10" s="83" customFormat="1" ht="102" customHeight="1" x14ac:dyDescent="0.25">
      <c r="A61" s="55" t="s">
        <v>155</v>
      </c>
      <c r="B61" s="88"/>
      <c r="C61" s="148" t="s">
        <v>111</v>
      </c>
      <c r="D61" s="148"/>
      <c r="E61" s="148"/>
      <c r="F61" s="148"/>
      <c r="G61" s="79" t="s">
        <v>49</v>
      </c>
      <c r="H61" s="80">
        <v>8</v>
      </c>
      <c r="I61" s="89">
        <v>536</v>
      </c>
      <c r="J61" s="82">
        <f>I61*H61</f>
        <v>4288</v>
      </c>
    </row>
    <row r="62" spans="1:10" s="83" customFormat="1" ht="114" customHeight="1" x14ac:dyDescent="0.25">
      <c r="A62" s="55" t="s">
        <v>156</v>
      </c>
      <c r="B62" s="88"/>
      <c r="C62" s="148" t="s">
        <v>112</v>
      </c>
      <c r="D62" s="148"/>
      <c r="E62" s="148"/>
      <c r="F62" s="148"/>
      <c r="G62" s="79" t="s">
        <v>49</v>
      </c>
      <c r="H62" s="80">
        <v>12</v>
      </c>
      <c r="I62" s="89">
        <v>416</v>
      </c>
      <c r="J62" s="82">
        <f t="shared" ref="J62:J63" si="18">I62*H62</f>
        <v>4992</v>
      </c>
    </row>
    <row r="63" spans="1:10" s="83" customFormat="1" ht="102" customHeight="1" x14ac:dyDescent="0.25">
      <c r="A63" s="55" t="s">
        <v>157</v>
      </c>
      <c r="B63" s="88"/>
      <c r="C63" s="148" t="s">
        <v>196</v>
      </c>
      <c r="D63" s="148"/>
      <c r="E63" s="148"/>
      <c r="F63" s="148"/>
      <c r="G63" s="79" t="s">
        <v>49</v>
      </c>
      <c r="H63" s="80">
        <v>1</v>
      </c>
      <c r="I63" s="89">
        <v>435</v>
      </c>
      <c r="J63" s="82">
        <f t="shared" si="18"/>
        <v>435</v>
      </c>
    </row>
    <row r="64" spans="1:10" s="83" customFormat="1" ht="103.5" customHeight="1" x14ac:dyDescent="0.25">
      <c r="A64" s="55" t="s">
        <v>158</v>
      </c>
      <c r="B64" s="88"/>
      <c r="C64" s="148" t="s">
        <v>113</v>
      </c>
      <c r="D64" s="148"/>
      <c r="E64" s="148"/>
      <c r="F64" s="148"/>
      <c r="G64" s="79" t="s">
        <v>49</v>
      </c>
      <c r="H64" s="80">
        <v>1</v>
      </c>
      <c r="I64" s="89">
        <v>486</v>
      </c>
      <c r="J64" s="82">
        <f t="shared" ref="J64:J68" si="19">I64*H64</f>
        <v>486</v>
      </c>
    </row>
    <row r="65" spans="1:11" s="83" customFormat="1" ht="126.75" customHeight="1" x14ac:dyDescent="0.25">
      <c r="A65" s="75" t="s">
        <v>159</v>
      </c>
      <c r="B65" s="88"/>
      <c r="C65" s="152" t="s">
        <v>96</v>
      </c>
      <c r="D65" s="153"/>
      <c r="E65" s="153"/>
      <c r="F65" s="153"/>
      <c r="G65" s="79" t="s">
        <v>49</v>
      </c>
      <c r="H65" s="80">
        <v>20</v>
      </c>
      <c r="I65" s="89">
        <f>1150/0.65</f>
        <v>1769.2307692307693</v>
      </c>
      <c r="J65" s="82">
        <f t="shared" ref="J65" si="20">I65*H65</f>
        <v>35384.615384615383</v>
      </c>
      <c r="K65" s="83" t="s">
        <v>94</v>
      </c>
    </row>
    <row r="66" spans="1:11" s="83" customFormat="1" ht="126.75" customHeight="1" x14ac:dyDescent="0.25">
      <c r="A66" s="75" t="s">
        <v>160</v>
      </c>
      <c r="B66" s="88"/>
      <c r="C66" s="152" t="s">
        <v>424</v>
      </c>
      <c r="D66" s="153"/>
      <c r="E66" s="153"/>
      <c r="F66" s="153"/>
      <c r="G66" s="79" t="s">
        <v>49</v>
      </c>
      <c r="H66" s="80">
        <v>3</v>
      </c>
      <c r="I66" s="89">
        <f>1400/0.65</f>
        <v>2153.8461538461538</v>
      </c>
      <c r="J66" s="82">
        <f t="shared" ref="J66" si="21">I66*H66</f>
        <v>6461.538461538461</v>
      </c>
      <c r="K66" s="83" t="s">
        <v>94</v>
      </c>
    </row>
    <row r="67" spans="1:11" s="83" customFormat="1" ht="126.75" customHeight="1" x14ac:dyDescent="0.25">
      <c r="A67" s="75" t="s">
        <v>161</v>
      </c>
      <c r="B67" s="88"/>
      <c r="C67" s="152" t="s">
        <v>213</v>
      </c>
      <c r="D67" s="153"/>
      <c r="E67" s="153"/>
      <c r="F67" s="153"/>
      <c r="G67" s="79" t="s">
        <v>49</v>
      </c>
      <c r="H67" s="80">
        <v>2</v>
      </c>
      <c r="I67" s="89">
        <f>1800/0.65</f>
        <v>2769.2307692307691</v>
      </c>
      <c r="J67" s="82">
        <f t="shared" si="19"/>
        <v>5538.4615384615381</v>
      </c>
      <c r="K67" s="83" t="s">
        <v>94</v>
      </c>
    </row>
    <row r="68" spans="1:11" s="83" customFormat="1" ht="126.75" customHeight="1" x14ac:dyDescent="0.25">
      <c r="A68" s="75" t="s">
        <v>162</v>
      </c>
      <c r="B68" s="88"/>
      <c r="C68" s="152" t="s">
        <v>209</v>
      </c>
      <c r="D68" s="153"/>
      <c r="E68" s="153"/>
      <c r="F68" s="153"/>
      <c r="G68" s="79" t="s">
        <v>49</v>
      </c>
      <c r="H68" s="80">
        <v>2</v>
      </c>
      <c r="I68" s="89">
        <f>2200/0.65</f>
        <v>3384.6153846153843</v>
      </c>
      <c r="J68" s="82">
        <f t="shared" si="19"/>
        <v>6769.2307692307686</v>
      </c>
      <c r="K68" s="83" t="s">
        <v>94</v>
      </c>
    </row>
    <row r="69" spans="1:11" s="83" customFormat="1" ht="126.75" customHeight="1" x14ac:dyDescent="0.25">
      <c r="A69" s="75" t="s">
        <v>163</v>
      </c>
      <c r="B69" s="88"/>
      <c r="C69" s="152" t="s">
        <v>210</v>
      </c>
      <c r="D69" s="153"/>
      <c r="E69" s="153"/>
      <c r="F69" s="153"/>
      <c r="G69" s="79" t="s">
        <v>49</v>
      </c>
      <c r="H69" s="80">
        <v>2</v>
      </c>
      <c r="I69" s="89">
        <f>2600/0.7</f>
        <v>3714.2857142857147</v>
      </c>
      <c r="J69" s="82">
        <f t="shared" si="10"/>
        <v>7428.5714285714294</v>
      </c>
      <c r="K69" s="83" t="s">
        <v>94</v>
      </c>
    </row>
    <row r="70" spans="1:11" s="83" customFormat="1" ht="126.75" customHeight="1" x14ac:dyDescent="0.25">
      <c r="A70" s="75" t="s">
        <v>164</v>
      </c>
      <c r="B70" s="88"/>
      <c r="C70" s="152" t="s">
        <v>211</v>
      </c>
      <c r="D70" s="153"/>
      <c r="E70" s="153"/>
      <c r="F70" s="153"/>
      <c r="G70" s="79" t="s">
        <v>49</v>
      </c>
      <c r="H70" s="80">
        <v>1</v>
      </c>
      <c r="I70" s="89">
        <f>4900/0.65</f>
        <v>7538.4615384615381</v>
      </c>
      <c r="J70" s="82">
        <f t="shared" si="10"/>
        <v>7538.4615384615381</v>
      </c>
      <c r="K70" s="83" t="s">
        <v>95</v>
      </c>
    </row>
    <row r="71" spans="1:11" s="83" customFormat="1" ht="114" customHeight="1" x14ac:dyDescent="0.25">
      <c r="A71" s="75" t="s">
        <v>165</v>
      </c>
      <c r="B71" s="88"/>
      <c r="C71" s="149" t="s">
        <v>212</v>
      </c>
      <c r="D71" s="150"/>
      <c r="E71" s="150"/>
      <c r="F71" s="151"/>
      <c r="G71" s="79" t="s">
        <v>49</v>
      </c>
      <c r="H71" s="80">
        <v>1</v>
      </c>
      <c r="I71" s="89">
        <f>2200/0.65</f>
        <v>3384.6153846153843</v>
      </c>
      <c r="J71" s="82">
        <f t="shared" si="10"/>
        <v>3384.6153846153843</v>
      </c>
    </row>
    <row r="72" spans="1:11" s="83" customFormat="1" ht="122.25" customHeight="1" x14ac:dyDescent="0.25">
      <c r="A72" s="75" t="s">
        <v>166</v>
      </c>
      <c r="B72" s="88"/>
      <c r="C72" s="152" t="s">
        <v>420</v>
      </c>
      <c r="D72" s="153"/>
      <c r="E72" s="153"/>
      <c r="F72" s="153"/>
      <c r="G72" s="79" t="s">
        <v>49</v>
      </c>
      <c r="H72" s="80">
        <v>8</v>
      </c>
      <c r="I72" s="89">
        <f>7200/0.65</f>
        <v>11076.923076923076</v>
      </c>
      <c r="J72" s="82">
        <f t="shared" si="10"/>
        <v>88615.38461538461</v>
      </c>
    </row>
    <row r="73" spans="1:11" s="83" customFormat="1" ht="146.25" customHeight="1" x14ac:dyDescent="0.25">
      <c r="A73" s="75" t="s">
        <v>167</v>
      </c>
      <c r="B73" s="88"/>
      <c r="C73" s="152" t="s">
        <v>419</v>
      </c>
      <c r="D73" s="153"/>
      <c r="E73" s="153"/>
      <c r="F73" s="153"/>
      <c r="G73" s="79" t="s">
        <v>49</v>
      </c>
      <c r="H73" s="80">
        <v>16</v>
      </c>
      <c r="I73" s="89">
        <f>5100/0.65</f>
        <v>7846.1538461538457</v>
      </c>
      <c r="J73" s="82">
        <f t="shared" ref="J73" si="22">I73*H73</f>
        <v>125538.46153846153</v>
      </c>
    </row>
    <row r="74" spans="1:11" s="83" customFormat="1" ht="124.5" customHeight="1" x14ac:dyDescent="0.25">
      <c r="A74" s="75" t="s">
        <v>168</v>
      </c>
      <c r="B74" s="88"/>
      <c r="C74" s="152" t="s">
        <v>99</v>
      </c>
      <c r="D74" s="153"/>
      <c r="E74" s="153"/>
      <c r="F74" s="153"/>
      <c r="G74" s="79" t="s">
        <v>49</v>
      </c>
      <c r="H74" s="80">
        <v>1</v>
      </c>
      <c r="I74" s="89">
        <v>8315</v>
      </c>
      <c r="J74" s="82">
        <f t="shared" ref="J74:J80" si="23">I74*H74</f>
        <v>8315</v>
      </c>
    </row>
    <row r="75" spans="1:11" s="83" customFormat="1" ht="114.75" customHeight="1" x14ac:dyDescent="0.25">
      <c r="A75" s="75" t="s">
        <v>169</v>
      </c>
      <c r="B75" s="88"/>
      <c r="C75" s="152" t="s">
        <v>421</v>
      </c>
      <c r="D75" s="153"/>
      <c r="E75" s="153"/>
      <c r="F75" s="153"/>
      <c r="G75" s="79" t="s">
        <v>49</v>
      </c>
      <c r="H75" s="80">
        <v>1</v>
      </c>
      <c r="I75" s="89">
        <f>6300/0.65</f>
        <v>9692.3076923076915</v>
      </c>
      <c r="J75" s="82">
        <f t="shared" si="23"/>
        <v>9692.3076923076915</v>
      </c>
    </row>
    <row r="76" spans="1:11" s="83" customFormat="1" ht="112.5" customHeight="1" x14ac:dyDescent="0.25">
      <c r="A76" s="75" t="s">
        <v>170</v>
      </c>
      <c r="B76" s="88"/>
      <c r="C76" s="152" t="s">
        <v>422</v>
      </c>
      <c r="D76" s="153"/>
      <c r="E76" s="153"/>
      <c r="F76" s="153"/>
      <c r="G76" s="79" t="s">
        <v>49</v>
      </c>
      <c r="H76" s="80">
        <v>1</v>
      </c>
      <c r="I76" s="89">
        <f>7900/0.65</f>
        <v>12153.846153846154</v>
      </c>
      <c r="J76" s="82">
        <f t="shared" si="23"/>
        <v>12153.846153846154</v>
      </c>
    </row>
    <row r="77" spans="1:11" s="83" customFormat="1" ht="112.5" customHeight="1" x14ac:dyDescent="0.25">
      <c r="A77" s="75" t="s">
        <v>171</v>
      </c>
      <c r="B77" s="88"/>
      <c r="C77" s="152" t="s">
        <v>423</v>
      </c>
      <c r="D77" s="153"/>
      <c r="E77" s="153"/>
      <c r="F77" s="153"/>
      <c r="G77" s="79" t="s">
        <v>49</v>
      </c>
      <c r="H77" s="80">
        <v>1</v>
      </c>
      <c r="I77" s="89">
        <f>12500/0.65</f>
        <v>19230.76923076923</v>
      </c>
      <c r="J77" s="82">
        <f t="shared" si="23"/>
        <v>19230.76923076923</v>
      </c>
    </row>
    <row r="78" spans="1:11" s="83" customFormat="1" ht="112.5" customHeight="1" x14ac:dyDescent="0.25">
      <c r="A78" s="75" t="s">
        <v>172</v>
      </c>
      <c r="B78" s="88"/>
      <c r="C78" s="152" t="s">
        <v>427</v>
      </c>
      <c r="D78" s="153"/>
      <c r="E78" s="153"/>
      <c r="F78" s="153"/>
      <c r="G78" s="79" t="s">
        <v>49</v>
      </c>
      <c r="H78" s="80">
        <v>2</v>
      </c>
      <c r="I78" s="89">
        <f>8900/0.65</f>
        <v>13692.307692307691</v>
      </c>
      <c r="J78" s="82">
        <f t="shared" ref="J78" si="24">I78*H78</f>
        <v>27384.615384615383</v>
      </c>
    </row>
    <row r="79" spans="1:11" s="83" customFormat="1" ht="112.5" customHeight="1" x14ac:dyDescent="0.25">
      <c r="A79" s="75" t="s">
        <v>173</v>
      </c>
      <c r="B79" s="88"/>
      <c r="C79" s="152" t="s">
        <v>207</v>
      </c>
      <c r="D79" s="153"/>
      <c r="E79" s="153"/>
      <c r="F79" s="153"/>
      <c r="G79" s="79" t="s">
        <v>49</v>
      </c>
      <c r="H79" s="80">
        <v>4</v>
      </c>
      <c r="I79" s="89">
        <f>2500/0.65</f>
        <v>3846.1538461538462</v>
      </c>
      <c r="J79" s="82">
        <f t="shared" si="23"/>
        <v>15384.615384615385</v>
      </c>
    </row>
    <row r="80" spans="1:11" s="83" customFormat="1" ht="112.5" customHeight="1" x14ac:dyDescent="0.25">
      <c r="A80" s="75" t="s">
        <v>174</v>
      </c>
      <c r="B80" s="88"/>
      <c r="C80" s="152" t="s">
        <v>208</v>
      </c>
      <c r="D80" s="153"/>
      <c r="E80" s="153"/>
      <c r="F80" s="153"/>
      <c r="G80" s="79" t="s">
        <v>49</v>
      </c>
      <c r="H80" s="80">
        <v>3</v>
      </c>
      <c r="I80" s="89">
        <f>4000/0.65</f>
        <v>6153.8461538461534</v>
      </c>
      <c r="J80" s="82">
        <f t="shared" si="23"/>
        <v>18461.538461538461</v>
      </c>
    </row>
    <row r="81" spans="1:11" s="83" customFormat="1" ht="135" customHeight="1" x14ac:dyDescent="0.25">
      <c r="A81" s="75" t="s">
        <v>175</v>
      </c>
      <c r="B81" s="88"/>
      <c r="C81" s="152" t="s">
        <v>418</v>
      </c>
      <c r="D81" s="153"/>
      <c r="E81" s="153"/>
      <c r="F81" s="153"/>
      <c r="G81" s="79" t="s">
        <v>49</v>
      </c>
      <c r="H81" s="80">
        <v>7</v>
      </c>
      <c r="I81" s="89">
        <f>3200/0.65</f>
        <v>4923.0769230769229</v>
      </c>
      <c r="J81" s="82">
        <f t="shared" ref="J81" si="25">I81*H81</f>
        <v>34461.538461538461</v>
      </c>
    </row>
    <row r="82" spans="1:11" s="83" customFormat="1" ht="114" customHeight="1" x14ac:dyDescent="0.25">
      <c r="A82" s="75" t="s">
        <v>176</v>
      </c>
      <c r="B82" s="88"/>
      <c r="C82" s="152" t="s">
        <v>97</v>
      </c>
      <c r="D82" s="153"/>
      <c r="E82" s="153"/>
      <c r="F82" s="153"/>
      <c r="G82" s="79" t="s">
        <v>49</v>
      </c>
      <c r="H82" s="80">
        <v>4</v>
      </c>
      <c r="I82" s="89">
        <v>28315</v>
      </c>
      <c r="J82" s="82">
        <f>I82*H82</f>
        <v>113260</v>
      </c>
    </row>
    <row r="83" spans="1:11" s="83" customFormat="1" ht="102" customHeight="1" x14ac:dyDescent="0.25">
      <c r="A83" s="75" t="s">
        <v>177</v>
      </c>
      <c r="B83" s="88"/>
      <c r="C83" s="152" t="s">
        <v>201</v>
      </c>
      <c r="D83" s="153"/>
      <c r="E83" s="153"/>
      <c r="F83" s="153"/>
      <c r="G83" s="79" t="s">
        <v>49</v>
      </c>
      <c r="H83" s="80">
        <v>1</v>
      </c>
      <c r="I83" s="89">
        <f>4220/0.65</f>
        <v>6492.3076923076924</v>
      </c>
      <c r="J83" s="82">
        <f>I83*H83</f>
        <v>6492.3076923076924</v>
      </c>
    </row>
    <row r="84" spans="1:11" s="83" customFormat="1" ht="115.5" customHeight="1" x14ac:dyDescent="0.25">
      <c r="A84" s="75" t="s">
        <v>178</v>
      </c>
      <c r="B84" s="78"/>
      <c r="C84" s="159" t="s">
        <v>220</v>
      </c>
      <c r="D84" s="160"/>
      <c r="E84" s="160"/>
      <c r="F84" s="161"/>
      <c r="G84" s="79" t="s">
        <v>49</v>
      </c>
      <c r="H84" s="80">
        <v>1</v>
      </c>
      <c r="I84" s="81">
        <v>2315</v>
      </c>
      <c r="J84" s="82">
        <f t="shared" ref="J84" si="26">H84*I84</f>
        <v>2315</v>
      </c>
    </row>
    <row r="85" spans="1:11" s="83" customFormat="1" ht="126.75" customHeight="1" x14ac:dyDescent="0.25">
      <c r="A85" s="75" t="s">
        <v>179</v>
      </c>
      <c r="B85" s="88"/>
      <c r="C85" s="152" t="s">
        <v>133</v>
      </c>
      <c r="D85" s="153"/>
      <c r="E85" s="153"/>
      <c r="F85" s="153"/>
      <c r="G85" s="79" t="s">
        <v>49</v>
      </c>
      <c r="H85" s="80">
        <v>40</v>
      </c>
      <c r="I85" s="89">
        <f>270/0.65</f>
        <v>415.38461538461536</v>
      </c>
      <c r="J85" s="82">
        <f t="shared" ref="J85" si="27">I85*H85</f>
        <v>16615.384615384613</v>
      </c>
    </row>
    <row r="86" spans="1:11" s="83" customFormat="1" ht="112.5" customHeight="1" x14ac:dyDescent="0.25">
      <c r="A86" s="75" t="s">
        <v>180</v>
      </c>
      <c r="B86" s="88"/>
      <c r="C86" s="152" t="s">
        <v>131</v>
      </c>
      <c r="D86" s="153"/>
      <c r="E86" s="153"/>
      <c r="F86" s="153"/>
      <c r="G86" s="79" t="s">
        <v>49</v>
      </c>
      <c r="H86" s="80">
        <v>43</v>
      </c>
      <c r="I86" s="89">
        <f>450/0.65</f>
        <v>692.30769230769226</v>
      </c>
      <c r="J86" s="82">
        <f t="shared" si="10"/>
        <v>29769.230769230766</v>
      </c>
      <c r="K86" s="123"/>
    </row>
    <row r="87" spans="1:11" s="29" customFormat="1" ht="102" customHeight="1" x14ac:dyDescent="0.25">
      <c r="A87" s="55" t="s">
        <v>181</v>
      </c>
      <c r="B87" s="56"/>
      <c r="C87" s="163" t="s">
        <v>110</v>
      </c>
      <c r="D87" s="164"/>
      <c r="E87" s="164"/>
      <c r="F87" s="164"/>
      <c r="G87" s="57" t="s">
        <v>49</v>
      </c>
      <c r="H87" s="58">
        <v>4</v>
      </c>
      <c r="I87" s="59">
        <f>5300/0.7+415</f>
        <v>7986.4285714285716</v>
      </c>
      <c r="J87" s="60">
        <f t="shared" ref="J87" si="28">I87*H87</f>
        <v>31945.714285714286</v>
      </c>
    </row>
    <row r="88" spans="1:11" s="29" customFormat="1" ht="135" customHeight="1" x14ac:dyDescent="0.25">
      <c r="A88" s="55" t="s">
        <v>182</v>
      </c>
      <c r="B88" s="56"/>
      <c r="C88" s="158" t="s">
        <v>114</v>
      </c>
      <c r="D88" s="158"/>
      <c r="E88" s="158"/>
      <c r="F88" s="158"/>
      <c r="G88" s="57" t="s">
        <v>49</v>
      </c>
      <c r="H88" s="58">
        <v>116</v>
      </c>
      <c r="I88" s="59">
        <v>895</v>
      </c>
      <c r="J88" s="60">
        <f t="shared" ref="J88:J92" si="29">I88*H88</f>
        <v>103820</v>
      </c>
    </row>
    <row r="89" spans="1:11" s="29" customFormat="1" ht="126" customHeight="1" x14ac:dyDescent="0.25">
      <c r="A89" s="55" t="s">
        <v>183</v>
      </c>
      <c r="B89" s="56"/>
      <c r="C89" s="154" t="s">
        <v>115</v>
      </c>
      <c r="D89" s="155"/>
      <c r="E89" s="155"/>
      <c r="F89" s="156"/>
      <c r="G89" s="57" t="s">
        <v>49</v>
      </c>
      <c r="H89" s="58">
        <v>48</v>
      </c>
      <c r="I89" s="59">
        <v>385</v>
      </c>
      <c r="J89" s="60">
        <f t="shared" ref="J89:J90" si="30">I89*H89</f>
        <v>18480</v>
      </c>
    </row>
    <row r="90" spans="1:11" s="29" customFormat="1" ht="126" customHeight="1" x14ac:dyDescent="0.25">
      <c r="A90" s="55" t="s">
        <v>184</v>
      </c>
      <c r="B90" s="56"/>
      <c r="C90" s="154" t="s">
        <v>124</v>
      </c>
      <c r="D90" s="155"/>
      <c r="E90" s="155"/>
      <c r="F90" s="156"/>
      <c r="G90" s="57" t="s">
        <v>49</v>
      </c>
      <c r="H90" s="58">
        <v>7</v>
      </c>
      <c r="I90" s="59">
        <v>412.3</v>
      </c>
      <c r="J90" s="60">
        <f t="shared" si="30"/>
        <v>2886.1</v>
      </c>
    </row>
    <row r="91" spans="1:11" s="29" customFormat="1" ht="126" customHeight="1" x14ac:dyDescent="0.25">
      <c r="A91" s="55" t="s">
        <v>185</v>
      </c>
      <c r="B91" s="56"/>
      <c r="C91" s="154" t="s">
        <v>116</v>
      </c>
      <c r="D91" s="155"/>
      <c r="E91" s="155"/>
      <c r="F91" s="156"/>
      <c r="G91" s="57" t="s">
        <v>49</v>
      </c>
      <c r="H91" s="58">
        <v>3</v>
      </c>
      <c r="I91" s="59">
        <v>362</v>
      </c>
      <c r="J91" s="60">
        <f t="shared" si="29"/>
        <v>1086</v>
      </c>
    </row>
    <row r="92" spans="1:11" s="29" customFormat="1" ht="146.25" customHeight="1" x14ac:dyDescent="0.25">
      <c r="A92" s="55" t="s">
        <v>187</v>
      </c>
      <c r="B92" s="56"/>
      <c r="C92" s="154" t="s">
        <v>117</v>
      </c>
      <c r="D92" s="155"/>
      <c r="E92" s="155"/>
      <c r="F92" s="156"/>
      <c r="G92" s="57" t="s">
        <v>49</v>
      </c>
      <c r="H92" s="58">
        <v>6</v>
      </c>
      <c r="I92" s="59">
        <v>617.15</v>
      </c>
      <c r="J92" s="60">
        <f t="shared" si="29"/>
        <v>3702.8999999999996</v>
      </c>
    </row>
    <row r="93" spans="1:11" s="29" customFormat="1" ht="159" customHeight="1" x14ac:dyDescent="0.25">
      <c r="A93" s="55" t="s">
        <v>190</v>
      </c>
      <c r="B93" s="56"/>
      <c r="C93" s="154" t="s">
        <v>118</v>
      </c>
      <c r="D93" s="155"/>
      <c r="E93" s="155"/>
      <c r="F93" s="156"/>
      <c r="G93" s="57" t="s">
        <v>49</v>
      </c>
      <c r="H93" s="58">
        <v>122</v>
      </c>
      <c r="I93" s="59">
        <v>468</v>
      </c>
      <c r="J93" s="60">
        <f t="shared" ref="J93:J98" si="31">I93*H93</f>
        <v>57096</v>
      </c>
    </row>
    <row r="94" spans="1:11" s="29" customFormat="1" ht="91.5" customHeight="1" x14ac:dyDescent="0.25">
      <c r="A94" s="55" t="s">
        <v>191</v>
      </c>
      <c r="B94" s="56"/>
      <c r="C94" s="158" t="s">
        <v>125</v>
      </c>
      <c r="D94" s="158"/>
      <c r="E94" s="158"/>
      <c r="F94" s="158"/>
      <c r="G94" s="57" t="s">
        <v>49</v>
      </c>
      <c r="H94" s="58">
        <v>26</v>
      </c>
      <c r="I94" s="59">
        <v>165.3</v>
      </c>
      <c r="J94" s="60">
        <f t="shared" si="31"/>
        <v>4297.8</v>
      </c>
    </row>
    <row r="95" spans="1:11" s="29" customFormat="1" ht="102.75" customHeight="1" x14ac:dyDescent="0.25">
      <c r="A95" s="55" t="s">
        <v>197</v>
      </c>
      <c r="B95" s="56"/>
      <c r="C95" s="158" t="s">
        <v>119</v>
      </c>
      <c r="D95" s="158"/>
      <c r="E95" s="158"/>
      <c r="F95" s="158"/>
      <c r="G95" s="57" t="s">
        <v>49</v>
      </c>
      <c r="H95" s="58">
        <v>44</v>
      </c>
      <c r="I95" s="59">
        <f>295*1.3</f>
        <v>383.5</v>
      </c>
      <c r="J95" s="60">
        <f t="shared" si="31"/>
        <v>16874</v>
      </c>
    </row>
    <row r="96" spans="1:11" s="29" customFormat="1" ht="102.75" customHeight="1" x14ac:dyDescent="0.25">
      <c r="A96" s="55" t="s">
        <v>198</v>
      </c>
      <c r="B96" s="56"/>
      <c r="C96" s="158" t="s">
        <v>120</v>
      </c>
      <c r="D96" s="158"/>
      <c r="E96" s="158"/>
      <c r="F96" s="158"/>
      <c r="G96" s="57" t="s">
        <v>49</v>
      </c>
      <c r="H96" s="58">
        <v>22</v>
      </c>
      <c r="I96" s="59">
        <f>1560*1.3</f>
        <v>2028</v>
      </c>
      <c r="J96" s="60">
        <f t="shared" si="31"/>
        <v>44616</v>
      </c>
    </row>
    <row r="97" spans="1:11" s="29" customFormat="1" ht="102.75" customHeight="1" x14ac:dyDescent="0.25">
      <c r="A97" s="55" t="s">
        <v>199</v>
      </c>
      <c r="B97" s="56"/>
      <c r="C97" s="158" t="s">
        <v>121</v>
      </c>
      <c r="D97" s="158"/>
      <c r="E97" s="158"/>
      <c r="F97" s="158"/>
      <c r="G97" s="57" t="s">
        <v>49</v>
      </c>
      <c r="H97" s="58">
        <v>22</v>
      </c>
      <c r="I97" s="59">
        <f>1655*1.3</f>
        <v>2151.5</v>
      </c>
      <c r="J97" s="60">
        <f t="shared" si="31"/>
        <v>47333</v>
      </c>
    </row>
    <row r="98" spans="1:11" s="29" customFormat="1" ht="90" customHeight="1" x14ac:dyDescent="0.25">
      <c r="A98" s="55" t="s">
        <v>202</v>
      </c>
      <c r="B98" s="56"/>
      <c r="C98" s="158" t="s">
        <v>122</v>
      </c>
      <c r="D98" s="158"/>
      <c r="E98" s="158"/>
      <c r="F98" s="158"/>
      <c r="G98" s="57" t="s">
        <v>49</v>
      </c>
      <c r="H98" s="58">
        <v>44</v>
      </c>
      <c r="I98" s="59">
        <f>695*1.3</f>
        <v>903.5</v>
      </c>
      <c r="J98" s="60">
        <f t="shared" si="31"/>
        <v>39754</v>
      </c>
    </row>
    <row r="99" spans="1:11" s="29" customFormat="1" ht="89.25" customHeight="1" x14ac:dyDescent="0.25">
      <c r="A99" s="55" t="s">
        <v>203</v>
      </c>
      <c r="B99" s="56"/>
      <c r="C99" s="158" t="s">
        <v>123</v>
      </c>
      <c r="D99" s="158"/>
      <c r="E99" s="158"/>
      <c r="F99" s="158"/>
      <c r="G99" s="57" t="s">
        <v>49</v>
      </c>
      <c r="H99" s="58">
        <v>10</v>
      </c>
      <c r="I99" s="59">
        <f>463*1.3</f>
        <v>601.9</v>
      </c>
      <c r="J99" s="60">
        <f t="shared" ref="J99:J101" si="32">I99*H99</f>
        <v>6019</v>
      </c>
    </row>
    <row r="100" spans="1:11" s="29" customFormat="1" ht="138.75" customHeight="1" x14ac:dyDescent="0.25">
      <c r="A100" s="55" t="s">
        <v>204</v>
      </c>
      <c r="B100" s="56"/>
      <c r="C100" s="158" t="s">
        <v>386</v>
      </c>
      <c r="D100" s="158"/>
      <c r="E100" s="158"/>
      <c r="F100" s="158"/>
      <c r="G100" s="57" t="s">
        <v>49</v>
      </c>
      <c r="H100" s="58">
        <v>154</v>
      </c>
      <c r="I100" s="59">
        <v>738</v>
      </c>
      <c r="J100" s="60">
        <f t="shared" ref="J100" si="33">I100*H100</f>
        <v>113652</v>
      </c>
    </row>
    <row r="101" spans="1:11" s="29" customFormat="1" ht="148.5" customHeight="1" x14ac:dyDescent="0.25">
      <c r="A101" s="55" t="s">
        <v>205</v>
      </c>
      <c r="B101" s="56"/>
      <c r="C101" s="158" t="s">
        <v>385</v>
      </c>
      <c r="D101" s="158"/>
      <c r="E101" s="158"/>
      <c r="F101" s="158"/>
      <c r="G101" s="57" t="s">
        <v>49</v>
      </c>
      <c r="H101" s="58">
        <v>2</v>
      </c>
      <c r="I101" s="59">
        <v>2875</v>
      </c>
      <c r="J101" s="60">
        <f t="shared" si="32"/>
        <v>5750</v>
      </c>
    </row>
    <row r="102" spans="1:11" s="83" customFormat="1" ht="126.75" customHeight="1" x14ac:dyDescent="0.25">
      <c r="A102" s="141" t="s">
        <v>206</v>
      </c>
      <c r="B102" s="78"/>
      <c r="C102" s="148" t="s">
        <v>389</v>
      </c>
      <c r="D102" s="148"/>
      <c r="E102" s="148"/>
      <c r="F102" s="148"/>
      <c r="G102" s="79" t="s">
        <v>49</v>
      </c>
      <c r="H102" s="80">
        <v>1</v>
      </c>
      <c r="I102" s="81">
        <f>650*1.3/0.7+200</f>
        <v>1407.1428571428571</v>
      </c>
      <c r="J102" s="82">
        <f t="shared" ref="J102:J103" si="34">H102*I102</f>
        <v>1407.1428571428571</v>
      </c>
    </row>
    <row r="103" spans="1:11" s="83" customFormat="1" ht="150.75" customHeight="1" x14ac:dyDescent="0.25">
      <c r="A103" s="141" t="s">
        <v>216</v>
      </c>
      <c r="B103" s="78"/>
      <c r="C103" s="148" t="s">
        <v>388</v>
      </c>
      <c r="D103" s="148"/>
      <c r="E103" s="148"/>
      <c r="F103" s="148"/>
      <c r="G103" s="79" t="s">
        <v>49</v>
      </c>
      <c r="H103" s="80">
        <v>5</v>
      </c>
      <c r="I103" s="81">
        <f>3000*1.3/0.7+400</f>
        <v>5971.4285714285716</v>
      </c>
      <c r="J103" s="82">
        <f t="shared" si="34"/>
        <v>29857.142857142859</v>
      </c>
    </row>
    <row r="104" spans="1:11" s="83" customFormat="1" ht="150.75" customHeight="1" x14ac:dyDescent="0.25">
      <c r="A104" s="141" t="s">
        <v>217</v>
      </c>
      <c r="B104" s="78"/>
      <c r="C104" s="148" t="s">
        <v>387</v>
      </c>
      <c r="D104" s="148"/>
      <c r="E104" s="148"/>
      <c r="F104" s="148"/>
      <c r="G104" s="79" t="s">
        <v>49</v>
      </c>
      <c r="H104" s="80">
        <v>1</v>
      </c>
      <c r="I104" s="81">
        <f>3000*1.3/0.7+150</f>
        <v>5721.4285714285716</v>
      </c>
      <c r="J104" s="82">
        <f t="shared" ref="J104" si="35">H104*I104</f>
        <v>5721.4285714285716</v>
      </c>
    </row>
    <row r="105" spans="1:11" s="83" customFormat="1" ht="127.5" customHeight="1" x14ac:dyDescent="0.25">
      <c r="A105" s="141" t="s">
        <v>218</v>
      </c>
      <c r="B105" s="78"/>
      <c r="C105" s="148" t="s">
        <v>390</v>
      </c>
      <c r="D105" s="148"/>
      <c r="E105" s="148"/>
      <c r="F105" s="148"/>
      <c r="G105" s="79" t="s">
        <v>49</v>
      </c>
      <c r="H105" s="80">
        <v>1</v>
      </c>
      <c r="I105" s="81">
        <f>600*1.3/0.7+250</f>
        <v>1364.2857142857144</v>
      </c>
      <c r="J105" s="82">
        <f t="shared" ref="J105:J106" si="36">H105*I105</f>
        <v>1364.2857142857144</v>
      </c>
    </row>
    <row r="106" spans="1:11" s="83" customFormat="1" ht="128.25" customHeight="1" x14ac:dyDescent="0.25">
      <c r="A106" s="141" t="s">
        <v>219</v>
      </c>
      <c r="B106" s="78"/>
      <c r="C106" s="159" t="s">
        <v>392</v>
      </c>
      <c r="D106" s="160"/>
      <c r="E106" s="160"/>
      <c r="F106" s="161"/>
      <c r="G106" s="79" t="s">
        <v>49</v>
      </c>
      <c r="H106" s="80">
        <v>1</v>
      </c>
      <c r="I106" s="81">
        <f>200*1.3/0.7+100</f>
        <v>471.42857142857144</v>
      </c>
      <c r="J106" s="82">
        <f t="shared" si="36"/>
        <v>471.42857142857144</v>
      </c>
    </row>
    <row r="107" spans="1:11" s="83" customFormat="1" ht="128.25" customHeight="1" x14ac:dyDescent="0.25">
      <c r="A107" s="141" t="s">
        <v>221</v>
      </c>
      <c r="B107" s="78"/>
      <c r="C107" s="159" t="s">
        <v>393</v>
      </c>
      <c r="D107" s="160"/>
      <c r="E107" s="160"/>
      <c r="F107" s="161"/>
      <c r="G107" s="79" t="s">
        <v>49</v>
      </c>
      <c r="H107" s="80">
        <v>4</v>
      </c>
      <c r="I107" s="81">
        <f>300*1.3/0.7+300</f>
        <v>857.14285714285722</v>
      </c>
      <c r="J107" s="82">
        <f t="shared" ref="J107:J114" si="37">H107*I107</f>
        <v>3428.5714285714289</v>
      </c>
    </row>
    <row r="108" spans="1:11" s="83" customFormat="1" ht="128.25" customHeight="1" x14ac:dyDescent="0.25">
      <c r="A108" s="141" t="s">
        <v>398</v>
      </c>
      <c r="B108" s="78"/>
      <c r="C108" s="148" t="s">
        <v>394</v>
      </c>
      <c r="D108" s="148"/>
      <c r="E108" s="148"/>
      <c r="F108" s="148"/>
      <c r="G108" s="79" t="s">
        <v>49</v>
      </c>
      <c r="H108" s="80">
        <v>2</v>
      </c>
      <c r="I108" s="81">
        <f>300*1.3/0.7+400</f>
        <v>957.14285714285722</v>
      </c>
      <c r="J108" s="82">
        <f t="shared" si="37"/>
        <v>1914.2857142857144</v>
      </c>
    </row>
    <row r="109" spans="1:11" s="83" customFormat="1" ht="128.25" customHeight="1" x14ac:dyDescent="0.25">
      <c r="A109" s="141" t="s">
        <v>399</v>
      </c>
      <c r="B109" s="78"/>
      <c r="C109" s="148" t="s">
        <v>395</v>
      </c>
      <c r="D109" s="148"/>
      <c r="E109" s="148"/>
      <c r="F109" s="148"/>
      <c r="G109" s="79" t="s">
        <v>49</v>
      </c>
      <c r="H109" s="80">
        <v>1</v>
      </c>
      <c r="I109" s="81">
        <f>100*1.3/0.7+50</f>
        <v>235.71428571428572</v>
      </c>
      <c r="J109" s="82">
        <f t="shared" si="37"/>
        <v>235.71428571428572</v>
      </c>
      <c r="K109" s="123"/>
    </row>
    <row r="110" spans="1:11" s="83" customFormat="1" ht="116.25" customHeight="1" x14ac:dyDescent="0.25">
      <c r="A110" s="141" t="s">
        <v>400</v>
      </c>
      <c r="B110" s="78"/>
      <c r="C110" s="148" t="s">
        <v>397</v>
      </c>
      <c r="D110" s="148"/>
      <c r="E110" s="148"/>
      <c r="F110" s="148"/>
      <c r="G110" s="79" t="s">
        <v>49</v>
      </c>
      <c r="H110" s="80">
        <v>2</v>
      </c>
      <c r="I110" s="81">
        <f>150/0.7*1.3+150</f>
        <v>428.57142857142861</v>
      </c>
      <c r="J110" s="82">
        <f t="shared" ref="J110" si="38">H110*I110</f>
        <v>857.14285714285722</v>
      </c>
      <c r="K110" s="123"/>
    </row>
    <row r="111" spans="1:11" s="83" customFormat="1" ht="116.25" customHeight="1" x14ac:dyDescent="0.25">
      <c r="A111" s="141" t="s">
        <v>401</v>
      </c>
      <c r="B111" s="78"/>
      <c r="C111" s="148" t="s">
        <v>396</v>
      </c>
      <c r="D111" s="148"/>
      <c r="E111" s="148"/>
      <c r="F111" s="148"/>
      <c r="G111" s="79" t="s">
        <v>49</v>
      </c>
      <c r="H111" s="80">
        <v>1</v>
      </c>
      <c r="I111" s="81">
        <f>70/0.7*1.3+150</f>
        <v>280</v>
      </c>
      <c r="J111" s="82">
        <f t="shared" si="37"/>
        <v>280</v>
      </c>
      <c r="K111" s="123"/>
    </row>
    <row r="112" spans="1:11" s="83" customFormat="1" ht="116.25" customHeight="1" x14ac:dyDescent="0.25">
      <c r="A112" s="141" t="s">
        <v>402</v>
      </c>
      <c r="B112" s="78"/>
      <c r="C112" s="148" t="s">
        <v>391</v>
      </c>
      <c r="D112" s="148"/>
      <c r="E112" s="148"/>
      <c r="F112" s="148"/>
      <c r="G112" s="79" t="s">
        <v>49</v>
      </c>
      <c r="H112" s="80">
        <v>6</v>
      </c>
      <c r="I112" s="81">
        <f>70/0.7*1.3+100</f>
        <v>230</v>
      </c>
      <c r="J112" s="82">
        <f t="shared" ref="J112" si="39">H112*I112</f>
        <v>1380</v>
      </c>
      <c r="K112" s="123"/>
    </row>
    <row r="113" spans="1:11" s="83" customFormat="1" ht="120" customHeight="1" x14ac:dyDescent="0.25">
      <c r="A113" s="141" t="s">
        <v>403</v>
      </c>
      <c r="B113" s="78"/>
      <c r="C113" s="148" t="s">
        <v>150</v>
      </c>
      <c r="D113" s="148"/>
      <c r="E113" s="148"/>
      <c r="F113" s="148"/>
      <c r="G113" s="79" t="s">
        <v>49</v>
      </c>
      <c r="H113" s="80">
        <v>1</v>
      </c>
      <c r="I113" s="81">
        <f>300*1.3/0.7+250</f>
        <v>807.14285714285722</v>
      </c>
      <c r="J113" s="82">
        <f t="shared" si="37"/>
        <v>807.14285714285722</v>
      </c>
      <c r="K113" s="123"/>
    </row>
    <row r="114" spans="1:11" s="83" customFormat="1" ht="126" customHeight="1" x14ac:dyDescent="0.25">
      <c r="A114" s="141" t="s">
        <v>404</v>
      </c>
      <c r="B114" s="78"/>
      <c r="C114" s="148" t="s">
        <v>145</v>
      </c>
      <c r="D114" s="148"/>
      <c r="E114" s="148"/>
      <c r="F114" s="148"/>
      <c r="G114" s="79" t="s">
        <v>49</v>
      </c>
      <c r="H114" s="80">
        <v>4</v>
      </c>
      <c r="I114" s="81">
        <f>800*1.3/0.7+2800/0.7</f>
        <v>5485.7142857142862</v>
      </c>
      <c r="J114" s="82">
        <f t="shared" si="37"/>
        <v>21942.857142857145</v>
      </c>
    </row>
    <row r="115" spans="1:11" s="29" customFormat="1" ht="149.25" customHeight="1" x14ac:dyDescent="0.25">
      <c r="A115" s="55" t="s">
        <v>407</v>
      </c>
      <c r="B115" s="68"/>
      <c r="C115" s="158" t="s">
        <v>146</v>
      </c>
      <c r="D115" s="158"/>
      <c r="E115" s="158"/>
      <c r="F115" s="158"/>
      <c r="G115" s="57" t="s">
        <v>49</v>
      </c>
      <c r="H115" s="58">
        <v>3</v>
      </c>
      <c r="I115" s="67">
        <v>1316</v>
      </c>
      <c r="J115" s="60">
        <f t="shared" ref="J115" si="40">H115*I115</f>
        <v>3948</v>
      </c>
    </row>
    <row r="116" spans="1:11" s="29" customFormat="1" ht="105" customHeight="1" x14ac:dyDescent="0.25">
      <c r="A116" s="55" t="s">
        <v>408</v>
      </c>
      <c r="B116" s="68"/>
      <c r="C116" s="158" t="s">
        <v>147</v>
      </c>
      <c r="D116" s="158"/>
      <c r="E116" s="158"/>
      <c r="F116" s="158"/>
      <c r="G116" s="57" t="s">
        <v>49</v>
      </c>
      <c r="H116" s="58">
        <v>5</v>
      </c>
      <c r="I116" s="67">
        <v>1869</v>
      </c>
      <c r="J116" s="60">
        <f t="shared" ref="J116:J118" si="41">H116*I116</f>
        <v>9345</v>
      </c>
    </row>
    <row r="117" spans="1:11" s="29" customFormat="1" ht="126.75" customHeight="1" x14ac:dyDescent="0.25">
      <c r="A117" s="55" t="s">
        <v>415</v>
      </c>
      <c r="B117" s="68"/>
      <c r="C117" s="158" t="s">
        <v>148</v>
      </c>
      <c r="D117" s="158"/>
      <c r="E117" s="158"/>
      <c r="F117" s="158"/>
      <c r="G117" s="57" t="s">
        <v>49</v>
      </c>
      <c r="H117" s="58">
        <v>4</v>
      </c>
      <c r="I117" s="67">
        <v>326</v>
      </c>
      <c r="J117" s="60">
        <f t="shared" si="41"/>
        <v>1304</v>
      </c>
    </row>
    <row r="118" spans="1:11" s="29" customFormat="1" ht="126.75" customHeight="1" x14ac:dyDescent="0.25">
      <c r="A118" s="55" t="s">
        <v>416</v>
      </c>
      <c r="B118" s="68"/>
      <c r="C118" s="154" t="s">
        <v>149</v>
      </c>
      <c r="D118" s="155"/>
      <c r="E118" s="155"/>
      <c r="F118" s="156"/>
      <c r="G118" s="57" t="s">
        <v>49</v>
      </c>
      <c r="H118" s="58">
        <v>1</v>
      </c>
      <c r="I118" s="67">
        <v>2315</v>
      </c>
      <c r="J118" s="60">
        <f t="shared" si="41"/>
        <v>2315</v>
      </c>
    </row>
    <row r="119" spans="1:11" s="29" customFormat="1" ht="97.5" customHeight="1" x14ac:dyDescent="0.25">
      <c r="A119" s="55" t="s">
        <v>425</v>
      </c>
      <c r="B119" s="68"/>
      <c r="C119" s="154" t="s">
        <v>414</v>
      </c>
      <c r="D119" s="155"/>
      <c r="E119" s="155"/>
      <c r="F119" s="156"/>
      <c r="G119" s="57" t="s">
        <v>49</v>
      </c>
      <c r="H119" s="58">
        <v>2</v>
      </c>
      <c r="I119" s="67">
        <v>425</v>
      </c>
      <c r="J119" s="60">
        <f t="shared" ref="J119:J120" si="42">H119*I119</f>
        <v>850</v>
      </c>
    </row>
    <row r="120" spans="1:11" s="83" customFormat="1" ht="116.25" customHeight="1" x14ac:dyDescent="0.25">
      <c r="A120" s="55" t="s">
        <v>426</v>
      </c>
      <c r="B120" s="78"/>
      <c r="C120" s="148" t="s">
        <v>417</v>
      </c>
      <c r="D120" s="148"/>
      <c r="E120" s="148"/>
      <c r="F120" s="148"/>
      <c r="G120" s="79" t="s">
        <v>48</v>
      </c>
      <c r="H120" s="80">
        <v>10.06</v>
      </c>
      <c r="I120" s="81">
        <f>70/0.7*1.3+100</f>
        <v>230</v>
      </c>
      <c r="J120" s="82">
        <f t="shared" si="42"/>
        <v>2313.8000000000002</v>
      </c>
      <c r="K120" s="123"/>
    </row>
    <row r="121" spans="1:11" s="29" customFormat="1" ht="12.75" x14ac:dyDescent="0.25">
      <c r="A121" s="55"/>
      <c r="B121" s="68"/>
      <c r="C121" s="154"/>
      <c r="D121" s="155"/>
      <c r="E121" s="155"/>
      <c r="F121" s="156"/>
      <c r="G121" s="57"/>
      <c r="H121" s="58"/>
      <c r="I121" s="67"/>
      <c r="J121" s="60"/>
    </row>
    <row r="122" spans="1:11" s="29" customFormat="1" x14ac:dyDescent="0.25">
      <c r="A122" s="55"/>
      <c r="B122" s="56"/>
      <c r="C122" s="157"/>
      <c r="D122" s="158"/>
      <c r="E122" s="158"/>
      <c r="F122" s="158"/>
      <c r="G122" s="57"/>
      <c r="H122" s="58"/>
      <c r="I122" s="59"/>
      <c r="J122" s="60"/>
    </row>
    <row r="123" spans="1:11" s="29" customFormat="1" x14ac:dyDescent="0.25">
      <c r="A123" s="55"/>
      <c r="B123" s="56"/>
      <c r="C123" s="133"/>
      <c r="D123" s="131"/>
      <c r="E123" s="131"/>
      <c r="F123" s="132"/>
      <c r="G123" s="57"/>
      <c r="H123" s="58"/>
      <c r="I123" s="59"/>
      <c r="J123" s="60"/>
    </row>
    <row r="124" spans="1:11" s="29" customFormat="1" x14ac:dyDescent="0.25">
      <c r="A124" s="55"/>
      <c r="B124" s="56"/>
      <c r="C124" s="133"/>
      <c r="D124" s="131"/>
      <c r="E124" s="131"/>
      <c r="F124" s="132"/>
      <c r="G124" s="57"/>
      <c r="H124" s="58"/>
      <c r="I124" s="59"/>
      <c r="J124" s="60"/>
    </row>
    <row r="125" spans="1:11" s="29" customFormat="1" x14ac:dyDescent="0.25">
      <c r="A125" s="55"/>
      <c r="B125" s="56"/>
      <c r="C125" s="133"/>
      <c r="D125" s="131"/>
      <c r="E125" s="131"/>
      <c r="F125" s="132"/>
      <c r="G125" s="57"/>
      <c r="H125" s="58"/>
      <c r="I125" s="59"/>
      <c r="J125" s="60"/>
    </row>
    <row r="126" spans="1:11" s="29" customFormat="1" x14ac:dyDescent="0.25">
      <c r="A126" s="55"/>
      <c r="B126" s="56"/>
      <c r="C126" s="133"/>
      <c r="D126" s="131"/>
      <c r="E126" s="131"/>
      <c r="F126" s="132"/>
      <c r="G126" s="57"/>
      <c r="H126" s="58"/>
      <c r="I126" s="59"/>
      <c r="J126" s="60"/>
    </row>
    <row r="127" spans="1:11" s="29" customFormat="1" x14ac:dyDescent="0.25">
      <c r="A127" s="55"/>
      <c r="B127" s="56"/>
      <c r="C127" s="133"/>
      <c r="D127" s="131"/>
      <c r="E127" s="131"/>
      <c r="F127" s="132"/>
      <c r="G127" s="57"/>
      <c r="H127" s="58"/>
      <c r="I127" s="59"/>
      <c r="J127" s="60"/>
    </row>
    <row r="128" spans="1:11" s="29" customFormat="1" x14ac:dyDescent="0.25">
      <c r="A128" s="55"/>
      <c r="B128" s="56"/>
      <c r="C128" s="133"/>
      <c r="D128" s="131"/>
      <c r="E128" s="131"/>
      <c r="F128" s="132"/>
      <c r="G128" s="57"/>
      <c r="H128" s="58"/>
      <c r="I128" s="59"/>
      <c r="J128" s="60"/>
    </row>
    <row r="129" spans="1:10" s="29" customFormat="1" x14ac:dyDescent="0.25">
      <c r="A129" s="55"/>
      <c r="B129" s="56"/>
      <c r="C129" s="133"/>
      <c r="D129" s="131"/>
      <c r="E129" s="131"/>
      <c r="F129" s="132"/>
      <c r="G129" s="57"/>
      <c r="H129" s="58"/>
      <c r="I129" s="59"/>
      <c r="J129" s="60"/>
    </row>
    <row r="130" spans="1:10" s="29" customFormat="1" x14ac:dyDescent="0.25">
      <c r="A130" s="55"/>
      <c r="B130" s="56"/>
      <c r="C130" s="133"/>
      <c r="D130" s="131"/>
      <c r="E130" s="131"/>
      <c r="F130" s="132"/>
      <c r="G130" s="57"/>
      <c r="H130" s="58"/>
      <c r="I130" s="59"/>
      <c r="J130" s="60"/>
    </row>
    <row r="131" spans="1:10" s="29" customFormat="1" ht="12" thickBot="1" x14ac:dyDescent="0.3">
      <c r="A131" s="30"/>
      <c r="B131" s="31"/>
      <c r="C131" s="162"/>
      <c r="D131" s="162"/>
      <c r="E131" s="162"/>
      <c r="F131" s="162"/>
      <c r="G131" s="32"/>
      <c r="H131" s="33"/>
      <c r="I131" s="34" t="s">
        <v>26</v>
      </c>
      <c r="J131" s="35">
        <f>SUM(J17:J130)</f>
        <v>2273322.9267912088</v>
      </c>
    </row>
    <row r="132" spans="1:10" ht="12.75" customHeight="1" x14ac:dyDescent="0.2">
      <c r="A132" s="39"/>
      <c r="B132" s="40"/>
      <c r="C132" s="40"/>
      <c r="D132" s="40"/>
      <c r="E132" s="40"/>
      <c r="F132" s="41"/>
      <c r="G132" s="48"/>
      <c r="H132" s="49"/>
      <c r="I132" s="50"/>
      <c r="J132" s="36"/>
    </row>
    <row r="133" spans="1:10" x14ac:dyDescent="0.2">
      <c r="A133" s="42" t="s">
        <v>27</v>
      </c>
      <c r="B133" s="21"/>
      <c r="C133" s="43"/>
      <c r="D133" s="43"/>
      <c r="E133" s="43"/>
      <c r="F133" s="44"/>
      <c r="G133" s="51"/>
      <c r="H133" s="52"/>
      <c r="I133" s="53"/>
      <c r="J133" s="37">
        <f>J131</f>
        <v>2273322.9267912088</v>
      </c>
    </row>
    <row r="134" spans="1:10" ht="12" thickBot="1" x14ac:dyDescent="0.25">
      <c r="A134" s="45"/>
      <c r="B134" s="46"/>
      <c r="C134" s="46"/>
      <c r="D134" s="46"/>
      <c r="E134" s="46"/>
      <c r="F134" s="47"/>
      <c r="G134" s="54"/>
      <c r="H134" s="46"/>
      <c r="I134" s="47"/>
      <c r="J134" s="38"/>
    </row>
    <row r="136" spans="1:10" x14ac:dyDescent="0.2">
      <c r="A136" s="19" t="s">
        <v>19</v>
      </c>
      <c r="B136" s="20"/>
      <c r="C136" s="21" t="s">
        <v>20</v>
      </c>
      <c r="D136" s="21"/>
      <c r="E136" s="21"/>
      <c r="F136" s="20"/>
      <c r="G136" s="22" t="s">
        <v>21</v>
      </c>
      <c r="H136" s="23" t="s">
        <v>22</v>
      </c>
      <c r="I136" s="23" t="s">
        <v>23</v>
      </c>
      <c r="J136" s="23" t="s">
        <v>24</v>
      </c>
    </row>
    <row r="137" spans="1:10" x14ac:dyDescent="0.2">
      <c r="A137" s="24" t="s">
        <v>25</v>
      </c>
      <c r="B137" s="25"/>
      <c r="C137" s="26"/>
      <c r="D137" s="26"/>
      <c r="E137" s="26"/>
      <c r="F137" s="26"/>
      <c r="G137" s="26"/>
      <c r="H137" s="27"/>
      <c r="I137" s="27"/>
      <c r="J137" s="28"/>
    </row>
    <row r="138" spans="1:10" s="64" customFormat="1" x14ac:dyDescent="0.25">
      <c r="A138" s="61"/>
      <c r="B138" s="61"/>
      <c r="C138" s="62"/>
      <c r="D138" s="63"/>
      <c r="E138" s="63"/>
      <c r="F138" s="63"/>
      <c r="H138" s="65"/>
      <c r="I138" s="66"/>
      <c r="J138" s="66"/>
    </row>
    <row r="139" spans="1:10" s="64" customFormat="1" x14ac:dyDescent="0.25">
      <c r="A139" s="61" t="s">
        <v>66</v>
      </c>
      <c r="B139" s="61" t="s">
        <v>67</v>
      </c>
      <c r="C139" s="62"/>
      <c r="D139" s="63"/>
      <c r="E139" s="63"/>
      <c r="F139" s="63"/>
      <c r="H139" s="65"/>
      <c r="I139" s="66"/>
      <c r="J139" s="66"/>
    </row>
    <row r="140" spans="1:10" s="64" customFormat="1" x14ac:dyDescent="0.25">
      <c r="A140" s="61"/>
      <c r="B140" s="61"/>
      <c r="C140" s="62"/>
      <c r="D140" s="63"/>
      <c r="E140" s="63"/>
      <c r="F140" s="63"/>
      <c r="H140" s="65"/>
      <c r="I140" s="66"/>
      <c r="J140" s="66"/>
    </row>
    <row r="141" spans="1:10" s="64" customFormat="1" x14ac:dyDescent="0.25">
      <c r="A141" s="61"/>
      <c r="B141" s="61"/>
      <c r="C141" s="62"/>
      <c r="D141" s="63"/>
      <c r="E141" s="63"/>
      <c r="F141" s="63"/>
      <c r="H141" s="65"/>
      <c r="I141" s="66"/>
      <c r="J141" s="66"/>
    </row>
    <row r="142" spans="1:10" s="64" customFormat="1" x14ac:dyDescent="0.25">
      <c r="A142" s="61"/>
      <c r="B142" s="61"/>
      <c r="C142" s="62"/>
      <c r="D142" s="63"/>
      <c r="E142" s="63"/>
      <c r="F142" s="63"/>
      <c r="H142" s="65"/>
      <c r="I142" s="66"/>
      <c r="J142" s="66"/>
    </row>
    <row r="148" spans="1:10" s="64" customFormat="1" x14ac:dyDescent="0.25">
      <c r="A148" s="61"/>
      <c r="B148" s="61"/>
      <c r="C148" s="62"/>
      <c r="D148" s="63"/>
      <c r="E148" s="63"/>
      <c r="F148" s="63"/>
      <c r="H148" s="65"/>
      <c r="I148" s="66"/>
      <c r="J148" s="66"/>
    </row>
    <row r="149" spans="1:10" s="64" customFormat="1" x14ac:dyDescent="0.25">
      <c r="A149" s="61"/>
      <c r="B149" s="61"/>
      <c r="C149" s="62"/>
      <c r="D149" s="63"/>
      <c r="E149" s="63"/>
      <c r="F149" s="63"/>
      <c r="H149" s="65"/>
      <c r="I149" s="66"/>
      <c r="J149" s="66"/>
    </row>
    <row r="150" spans="1:10" s="64" customFormat="1" x14ac:dyDescent="0.25">
      <c r="A150" s="61"/>
      <c r="B150" s="61"/>
      <c r="C150" s="62"/>
      <c r="D150" s="63"/>
      <c r="E150" s="63"/>
      <c r="F150" s="63"/>
      <c r="H150" s="65"/>
      <c r="I150" s="66"/>
      <c r="J150" s="66"/>
    </row>
    <row r="151" spans="1:10" s="64" customFormat="1" x14ac:dyDescent="0.25">
      <c r="A151" s="61"/>
      <c r="B151" s="61"/>
      <c r="C151" s="62"/>
      <c r="D151" s="63"/>
      <c r="E151" s="63"/>
      <c r="F151" s="63"/>
      <c r="H151" s="65"/>
      <c r="I151" s="66"/>
      <c r="J151" s="66"/>
    </row>
    <row r="152" spans="1:10" s="64" customFormat="1" x14ac:dyDescent="0.25">
      <c r="A152" s="61"/>
      <c r="B152" s="61"/>
      <c r="C152" s="62"/>
      <c r="D152" s="63"/>
      <c r="E152" s="63"/>
      <c r="F152" s="63"/>
      <c r="H152" s="65"/>
      <c r="I152" s="66"/>
      <c r="J152" s="66"/>
    </row>
    <row r="153" spans="1:10" s="64" customFormat="1" x14ac:dyDescent="0.25">
      <c r="A153" s="61"/>
      <c r="B153" s="61"/>
      <c r="C153" s="62"/>
      <c r="D153" s="63"/>
      <c r="E153" s="63"/>
      <c r="F153" s="63"/>
      <c r="H153" s="65"/>
      <c r="I153" s="66"/>
      <c r="J153" s="66"/>
    </row>
    <row r="154" spans="1:10" s="64" customFormat="1" x14ac:dyDescent="0.25">
      <c r="A154" s="61"/>
      <c r="B154" s="61"/>
      <c r="C154" s="62"/>
      <c r="D154" s="63"/>
      <c r="E154" s="63"/>
      <c r="F154" s="63"/>
      <c r="H154" s="65"/>
      <c r="I154" s="66"/>
      <c r="J154" s="66"/>
    </row>
    <row r="155" spans="1:10" s="64" customFormat="1" x14ac:dyDescent="0.25">
      <c r="A155" s="61"/>
      <c r="B155" s="61"/>
      <c r="C155" s="62"/>
      <c r="D155" s="63"/>
      <c r="E155" s="63"/>
      <c r="F155" s="63"/>
      <c r="H155" s="65"/>
      <c r="I155" s="66"/>
      <c r="J155" s="66"/>
    </row>
    <row r="156" spans="1:10" s="64" customFormat="1" x14ac:dyDescent="0.25">
      <c r="A156" s="61"/>
      <c r="B156" s="61"/>
      <c r="C156" s="62"/>
      <c r="D156" s="63"/>
      <c r="E156" s="63"/>
      <c r="F156" s="63"/>
      <c r="H156" s="65"/>
      <c r="I156" s="66"/>
      <c r="J156" s="66"/>
    </row>
    <row r="157" spans="1:10" s="64" customFormat="1" x14ac:dyDescent="0.25">
      <c r="A157" s="61"/>
      <c r="B157" s="61"/>
      <c r="C157" s="62"/>
      <c r="D157" s="63"/>
      <c r="E157" s="63"/>
      <c r="F157" s="63"/>
      <c r="H157" s="65"/>
      <c r="I157" s="66"/>
      <c r="J157" s="66"/>
    </row>
    <row r="158" spans="1:10" s="64" customFormat="1" x14ac:dyDescent="0.25">
      <c r="A158" s="61"/>
      <c r="B158" s="61"/>
      <c r="C158" s="62"/>
      <c r="D158" s="63"/>
      <c r="E158" s="63"/>
      <c r="F158" s="63"/>
      <c r="H158" s="65"/>
      <c r="I158" s="66"/>
      <c r="J158" s="66"/>
    </row>
  </sheetData>
  <mergeCells count="107">
    <mergeCell ref="C51:F51"/>
    <mergeCell ref="C52:F52"/>
    <mergeCell ref="C29:F29"/>
    <mergeCell ref="C107:F107"/>
    <mergeCell ref="C49:F49"/>
    <mergeCell ref="C58:F58"/>
    <mergeCell ref="C71:F71"/>
    <mergeCell ref="C82:F82"/>
    <mergeCell ref="C78:F78"/>
    <mergeCell ref="C81:F81"/>
    <mergeCell ref="C80:F80"/>
    <mergeCell ref="C76:F76"/>
    <mergeCell ref="C67:F67"/>
    <mergeCell ref="C68:F68"/>
    <mergeCell ref="C65:F65"/>
    <mergeCell ref="C93:F93"/>
    <mergeCell ref="C30:F30"/>
    <mergeCell ref="C35:F35"/>
    <mergeCell ref="C33:F33"/>
    <mergeCell ref="C32:F32"/>
    <mergeCell ref="C43:F43"/>
    <mergeCell ref="C36:F36"/>
    <mergeCell ref="C38:F38"/>
    <mergeCell ref="C44:F44"/>
    <mergeCell ref="C60:F60"/>
    <mergeCell ref="C96:F96"/>
    <mergeCell ref="C97:F97"/>
    <mergeCell ref="C98:F98"/>
    <mergeCell ref="C94:F94"/>
    <mergeCell ref="C84:F84"/>
    <mergeCell ref="C92:F92"/>
    <mergeCell ref="C87:F87"/>
    <mergeCell ref="C62:F62"/>
    <mergeCell ref="C64:F64"/>
    <mergeCell ref="C63:F63"/>
    <mergeCell ref="C89:F89"/>
    <mergeCell ref="C90:F90"/>
    <mergeCell ref="C95:F95"/>
    <mergeCell ref="C86:F86"/>
    <mergeCell ref="C88:F88"/>
    <mergeCell ref="C66:F66"/>
    <mergeCell ref="C77:F77"/>
    <mergeCell ref="C85:F85"/>
    <mergeCell ref="C79:F79"/>
    <mergeCell ref="C74:F74"/>
    <mergeCell ref="C121:F121"/>
    <mergeCell ref="C112:F112"/>
    <mergeCell ref="C118:F118"/>
    <mergeCell ref="C122:F122"/>
    <mergeCell ref="C131:F131"/>
    <mergeCell ref="C113:F113"/>
    <mergeCell ref="C114:F114"/>
    <mergeCell ref="C115:F115"/>
    <mergeCell ref="C116:F116"/>
    <mergeCell ref="C117:F117"/>
    <mergeCell ref="C119:F119"/>
    <mergeCell ref="C120:F120"/>
    <mergeCell ref="C99:F99"/>
    <mergeCell ref="C101:F101"/>
    <mergeCell ref="C108:F108"/>
    <mergeCell ref="C100:F100"/>
    <mergeCell ref="C104:F104"/>
    <mergeCell ref="C102:F102"/>
    <mergeCell ref="C103:F103"/>
    <mergeCell ref="C105:F105"/>
    <mergeCell ref="C106:F106"/>
    <mergeCell ref="C17:F17"/>
    <mergeCell ref="C21:F21"/>
    <mergeCell ref="C37:F37"/>
    <mergeCell ref="C41:F41"/>
    <mergeCell ref="C42:F42"/>
    <mergeCell ref="C18:F18"/>
    <mergeCell ref="C34:F34"/>
    <mergeCell ref="C19:F19"/>
    <mergeCell ref="C20:F20"/>
    <mergeCell ref="C23:F23"/>
    <mergeCell ref="C22:F22"/>
    <mergeCell ref="C24:F24"/>
    <mergeCell ref="C28:F28"/>
    <mergeCell ref="C27:F27"/>
    <mergeCell ref="C31:F31"/>
    <mergeCell ref="C25:F25"/>
    <mergeCell ref="C26:F26"/>
    <mergeCell ref="C109:F109"/>
    <mergeCell ref="C111:F111"/>
    <mergeCell ref="C110:F110"/>
    <mergeCell ref="C40:F40"/>
    <mergeCell ref="C39:F39"/>
    <mergeCell ref="C48:F48"/>
    <mergeCell ref="C57:F57"/>
    <mergeCell ref="C69:F69"/>
    <mergeCell ref="C70:F70"/>
    <mergeCell ref="C73:F73"/>
    <mergeCell ref="C59:F59"/>
    <mergeCell ref="C56:F56"/>
    <mergeCell ref="C46:F46"/>
    <mergeCell ref="C45:F45"/>
    <mergeCell ref="C53:F53"/>
    <mergeCell ref="C54:F54"/>
    <mergeCell ref="C55:F55"/>
    <mergeCell ref="C50:F50"/>
    <mergeCell ref="C47:F47"/>
    <mergeCell ref="C61:F61"/>
    <mergeCell ref="C91:F91"/>
    <mergeCell ref="C72:F72"/>
    <mergeCell ref="C83:F83"/>
    <mergeCell ref="C75:F75"/>
  </mergeCells>
  <pageMargins left="0.70866141732283472" right="0.70866141732283472" top="1.1417322834645669" bottom="0.55118110236220474" header="0.31496062992125984" footer="0.31496062992125984"/>
  <pageSetup scale="88" orientation="portrait" horizontalDpi="4294967292" r:id="rId1"/>
  <headerFooter>
    <oddHeader>&amp;C&amp;G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A18" zoomScaleNormal="100" zoomScaleSheetLayoutView="100" workbookViewId="0">
      <selection activeCell="I19" sqref="I19"/>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18" x14ac:dyDescent="0.25">
      <c r="A1" s="115" t="s">
        <v>461</v>
      </c>
      <c r="B1" s="2"/>
      <c r="C1" s="2"/>
      <c r="D1" s="2"/>
      <c r="E1" s="2"/>
      <c r="F1" s="2"/>
      <c r="G1" s="2"/>
      <c r="H1" s="2"/>
      <c r="I1" s="2"/>
      <c r="J1" s="97"/>
    </row>
    <row r="2" spans="1:10" ht="18"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ht="15" x14ac:dyDescent="0.2">
      <c r="A5" s="5"/>
      <c r="B5" s="5"/>
      <c r="C5" s="6"/>
      <c r="D5" s="6"/>
      <c r="E5" s="6"/>
      <c r="F5" s="6"/>
      <c r="G5" s="6"/>
      <c r="H5" s="6"/>
      <c r="I5" s="6"/>
      <c r="J5" s="6"/>
    </row>
    <row r="6" spans="1:10" x14ac:dyDescent="0.2">
      <c r="A6" s="7" t="s">
        <v>0</v>
      </c>
      <c r="B6" s="7"/>
      <c r="C6" s="8" t="s">
        <v>34</v>
      </c>
      <c r="D6" s="9"/>
      <c r="E6" s="9"/>
      <c r="F6" s="9"/>
      <c r="G6" s="10" t="s">
        <v>1</v>
      </c>
      <c r="H6" s="8" t="s">
        <v>2</v>
      </c>
      <c r="I6" s="9"/>
      <c r="J6" s="9"/>
    </row>
    <row r="7" spans="1:10" x14ac:dyDescent="0.2">
      <c r="A7" s="7" t="s">
        <v>3</v>
      </c>
      <c r="B7" s="7"/>
      <c r="C7" s="8" t="s">
        <v>4</v>
      </c>
      <c r="D7" s="9"/>
      <c r="E7" s="9"/>
      <c r="F7" s="9"/>
      <c r="G7" s="10" t="s">
        <v>5</v>
      </c>
      <c r="H7" s="8" t="s">
        <v>6</v>
      </c>
      <c r="I7" s="9"/>
      <c r="J7" s="9"/>
    </row>
    <row r="8" spans="1:10" x14ac:dyDescent="0.2">
      <c r="A8" s="7" t="s">
        <v>7</v>
      </c>
      <c r="B8" s="7"/>
      <c r="C8" s="8" t="s">
        <v>36</v>
      </c>
      <c r="D8" s="9"/>
      <c r="E8" s="9"/>
      <c r="F8" s="9"/>
      <c r="G8" s="10" t="s">
        <v>8</v>
      </c>
      <c r="H8" s="8" t="s">
        <v>36</v>
      </c>
      <c r="I8" s="9"/>
      <c r="J8" s="9"/>
    </row>
    <row r="9" spans="1:10" x14ac:dyDescent="0.2">
      <c r="A9" s="11" t="s">
        <v>29</v>
      </c>
      <c r="B9" s="11"/>
      <c r="C9" s="12"/>
      <c r="D9" s="12"/>
      <c r="E9" s="12"/>
      <c r="F9" s="12"/>
      <c r="G9" s="12"/>
      <c r="H9" s="12"/>
      <c r="I9" s="12"/>
      <c r="J9" s="12"/>
    </row>
    <row r="10" spans="1:10" ht="12.75" x14ac:dyDescent="0.2">
      <c r="A10" s="13" t="s">
        <v>9</v>
      </c>
      <c r="B10" s="13"/>
      <c r="C10" s="14"/>
      <c r="D10" s="14"/>
      <c r="E10" s="14"/>
      <c r="F10" s="14"/>
      <c r="G10" s="14"/>
      <c r="H10" s="14"/>
      <c r="I10" s="14"/>
      <c r="J10" s="14"/>
    </row>
    <row r="11" spans="1:10" x14ac:dyDescent="0.2">
      <c r="A11" s="15" t="s">
        <v>10</v>
      </c>
      <c r="B11" s="15"/>
      <c r="C11" s="16" t="s">
        <v>466</v>
      </c>
    </row>
    <row r="12" spans="1:10" x14ac:dyDescent="0.2">
      <c r="A12" s="15" t="s">
        <v>11</v>
      </c>
      <c r="B12" s="15"/>
      <c r="C12" s="3" t="s">
        <v>12</v>
      </c>
      <c r="G12" s="15"/>
      <c r="I12" s="15" t="s">
        <v>13</v>
      </c>
    </row>
    <row r="13" spans="1:10" x14ac:dyDescent="0.2">
      <c r="A13" s="15" t="s">
        <v>14</v>
      </c>
      <c r="B13" s="15"/>
      <c r="C13" s="16" t="s">
        <v>35</v>
      </c>
      <c r="G13" s="15"/>
      <c r="I13" s="15" t="s">
        <v>15</v>
      </c>
    </row>
    <row r="14" spans="1:10" x14ac:dyDescent="0.2">
      <c r="A14" s="15" t="s">
        <v>16</v>
      </c>
      <c r="B14" s="15"/>
      <c r="C14" s="17">
        <f>J63</f>
        <v>136916.32440000001</v>
      </c>
      <c r="E14" s="15" t="s">
        <v>17</v>
      </c>
      <c r="F14" s="3" t="s">
        <v>18</v>
      </c>
      <c r="G14" s="15"/>
      <c r="I14" s="15"/>
      <c r="J14" s="18"/>
    </row>
    <row r="15" spans="1:10" x14ac:dyDescent="0.2">
      <c r="A15" s="19" t="s">
        <v>19</v>
      </c>
      <c r="B15" s="20"/>
      <c r="C15" s="21" t="s">
        <v>20</v>
      </c>
      <c r="D15" s="21"/>
      <c r="E15" s="21"/>
      <c r="F15" s="20"/>
      <c r="G15" s="22" t="s">
        <v>21</v>
      </c>
      <c r="H15" s="23" t="s">
        <v>22</v>
      </c>
      <c r="I15" s="23" t="s">
        <v>23</v>
      </c>
      <c r="J15" s="23" t="s">
        <v>24</v>
      </c>
    </row>
    <row r="16" spans="1:10" x14ac:dyDescent="0.2">
      <c r="A16" s="24" t="s">
        <v>25</v>
      </c>
      <c r="B16" s="25"/>
      <c r="C16" s="26"/>
      <c r="D16" s="26"/>
      <c r="E16" s="26"/>
      <c r="F16" s="26"/>
      <c r="G16" s="26"/>
      <c r="H16" s="27"/>
      <c r="I16" s="27"/>
      <c r="J16" s="28"/>
    </row>
    <row r="17" spans="1:10" s="29" customFormat="1" ht="117" customHeight="1" x14ac:dyDescent="0.25">
      <c r="A17" s="55" t="s">
        <v>28</v>
      </c>
      <c r="B17" s="56"/>
      <c r="C17" s="157" t="s">
        <v>78</v>
      </c>
      <c r="D17" s="158"/>
      <c r="E17" s="158"/>
      <c r="F17" s="158"/>
      <c r="G17" s="57" t="s">
        <v>46</v>
      </c>
      <c r="H17" s="58">
        <v>510.82</v>
      </c>
      <c r="I17" s="59">
        <v>24.32</v>
      </c>
      <c r="J17" s="60">
        <f>I17*H17</f>
        <v>12423.142400000001</v>
      </c>
    </row>
    <row r="18" spans="1:10" s="29" customFormat="1" ht="127.5" customHeight="1" x14ac:dyDescent="0.25">
      <c r="A18" s="55" t="s">
        <v>30</v>
      </c>
      <c r="B18" s="56"/>
      <c r="C18" s="158" t="s">
        <v>101</v>
      </c>
      <c r="D18" s="158"/>
      <c r="E18" s="158"/>
      <c r="F18" s="158"/>
      <c r="G18" s="57" t="s">
        <v>46</v>
      </c>
      <c r="H18" s="58">
        <v>640.9</v>
      </c>
      <c r="I18" s="59">
        <v>32.26</v>
      </c>
      <c r="J18" s="60">
        <f t="shared" ref="J18:J20" si="0">I18*H18</f>
        <v>20675.433999999997</v>
      </c>
    </row>
    <row r="19" spans="1:10" s="29" customFormat="1" ht="120" customHeight="1" x14ac:dyDescent="0.25">
      <c r="A19" s="55" t="s">
        <v>31</v>
      </c>
      <c r="B19" s="56"/>
      <c r="C19" s="158" t="s">
        <v>102</v>
      </c>
      <c r="D19" s="158"/>
      <c r="E19" s="158"/>
      <c r="F19" s="158"/>
      <c r="G19" s="57" t="s">
        <v>49</v>
      </c>
      <c r="H19" s="58">
        <v>11</v>
      </c>
      <c r="I19" s="59">
        <v>86.3</v>
      </c>
      <c r="J19" s="60">
        <f t="shared" si="0"/>
        <v>949.3</v>
      </c>
    </row>
    <row r="20" spans="1:10" s="29" customFormat="1" ht="115.5" customHeight="1" x14ac:dyDescent="0.25">
      <c r="A20" s="55" t="s">
        <v>32</v>
      </c>
      <c r="B20" s="56"/>
      <c r="C20" s="158" t="s">
        <v>103</v>
      </c>
      <c r="D20" s="158"/>
      <c r="E20" s="158"/>
      <c r="F20" s="158"/>
      <c r="G20" s="57" t="s">
        <v>49</v>
      </c>
      <c r="H20" s="58">
        <v>13</v>
      </c>
      <c r="I20" s="59">
        <v>98.15</v>
      </c>
      <c r="J20" s="60">
        <f t="shared" si="0"/>
        <v>1275.95</v>
      </c>
    </row>
    <row r="21" spans="1:10" s="29" customFormat="1" ht="112.5" customHeight="1" x14ac:dyDescent="0.25">
      <c r="A21" s="55" t="s">
        <v>33</v>
      </c>
      <c r="B21" s="68"/>
      <c r="C21" s="158" t="s">
        <v>104</v>
      </c>
      <c r="D21" s="158"/>
      <c r="E21" s="158"/>
      <c r="F21" s="158"/>
      <c r="G21" s="57" t="s">
        <v>46</v>
      </c>
      <c r="H21" s="58">
        <f>H18</f>
        <v>640.9</v>
      </c>
      <c r="I21" s="67">
        <v>87.15</v>
      </c>
      <c r="J21" s="60">
        <f t="shared" ref="J21:J23" si="1">H21*I21</f>
        <v>55854.435000000005</v>
      </c>
    </row>
    <row r="22" spans="1:10" s="29" customFormat="1" ht="111.75" customHeight="1" x14ac:dyDescent="0.25">
      <c r="A22" s="55" t="s">
        <v>37</v>
      </c>
      <c r="B22" s="68"/>
      <c r="C22" s="158" t="s">
        <v>105</v>
      </c>
      <c r="D22" s="158"/>
      <c r="E22" s="158"/>
      <c r="F22" s="158"/>
      <c r="G22" s="57" t="s">
        <v>46</v>
      </c>
      <c r="H22" s="58">
        <f>H17</f>
        <v>510.82</v>
      </c>
      <c r="I22" s="67">
        <v>87.15</v>
      </c>
      <c r="J22" s="60">
        <f t="shared" si="1"/>
        <v>44517.963000000003</v>
      </c>
    </row>
    <row r="23" spans="1:10" s="29" customFormat="1" ht="114" customHeight="1" x14ac:dyDescent="0.25">
      <c r="A23" s="55" t="s">
        <v>38</v>
      </c>
      <c r="B23" s="68"/>
      <c r="C23" s="158" t="s">
        <v>453</v>
      </c>
      <c r="D23" s="158"/>
      <c r="E23" s="158"/>
      <c r="F23" s="158"/>
      <c r="G23" s="57" t="s">
        <v>48</v>
      </c>
      <c r="H23" s="58">
        <v>14</v>
      </c>
      <c r="I23" s="67">
        <v>87.15</v>
      </c>
      <c r="J23" s="60">
        <f t="shared" si="1"/>
        <v>1220.1000000000001</v>
      </c>
    </row>
    <row r="24" spans="1:10" s="29" customFormat="1" ht="12.75" x14ac:dyDescent="0.25">
      <c r="A24" s="55"/>
      <c r="B24" s="68"/>
      <c r="C24" s="134"/>
      <c r="D24" s="135"/>
      <c r="E24" s="135"/>
      <c r="F24" s="136"/>
      <c r="G24" s="57"/>
      <c r="H24" s="58"/>
      <c r="I24" s="67"/>
      <c r="J24" s="60"/>
    </row>
    <row r="25" spans="1:10" s="29" customFormat="1" ht="12.75" x14ac:dyDescent="0.25">
      <c r="A25" s="55"/>
      <c r="B25" s="68"/>
      <c r="C25" s="134"/>
      <c r="D25" s="135"/>
      <c r="E25" s="135"/>
      <c r="F25" s="136"/>
      <c r="G25" s="57"/>
      <c r="H25" s="58"/>
      <c r="I25" s="67"/>
      <c r="J25" s="60"/>
    </row>
    <row r="26" spans="1:10" s="29" customFormat="1" ht="12.75" x14ac:dyDescent="0.25">
      <c r="A26" s="55"/>
      <c r="B26" s="68"/>
      <c r="C26" s="134"/>
      <c r="D26" s="135"/>
      <c r="E26" s="135"/>
      <c r="F26" s="136"/>
      <c r="G26" s="57"/>
      <c r="H26" s="58"/>
      <c r="I26" s="67"/>
      <c r="J26" s="60"/>
    </row>
    <row r="27" spans="1:10" s="29" customFormat="1" ht="12.75" x14ac:dyDescent="0.25">
      <c r="A27" s="55"/>
      <c r="B27" s="68"/>
      <c r="C27" s="134"/>
      <c r="D27" s="135"/>
      <c r="E27" s="135"/>
      <c r="F27" s="136"/>
      <c r="G27" s="57"/>
      <c r="H27" s="58"/>
      <c r="I27" s="67"/>
      <c r="J27" s="60"/>
    </row>
    <row r="28" spans="1:10" s="29" customFormat="1" ht="12.75" x14ac:dyDescent="0.25">
      <c r="A28" s="55"/>
      <c r="B28" s="68"/>
      <c r="C28" s="134"/>
      <c r="D28" s="135"/>
      <c r="E28" s="135"/>
      <c r="F28" s="136"/>
      <c r="G28" s="57"/>
      <c r="H28" s="58"/>
      <c r="I28" s="67"/>
      <c r="J28" s="60"/>
    </row>
    <row r="29" spans="1:10" s="29" customFormat="1" ht="12.75" x14ac:dyDescent="0.25">
      <c r="A29" s="55"/>
      <c r="B29" s="68"/>
      <c r="C29" s="134"/>
      <c r="D29" s="135"/>
      <c r="E29" s="135"/>
      <c r="F29" s="136"/>
      <c r="G29" s="57"/>
      <c r="H29" s="58"/>
      <c r="I29" s="67"/>
      <c r="J29" s="60"/>
    </row>
    <row r="30" spans="1:10" s="29" customFormat="1" ht="12.75" x14ac:dyDescent="0.25">
      <c r="A30" s="55"/>
      <c r="B30" s="68"/>
      <c r="C30" s="134"/>
      <c r="D30" s="135"/>
      <c r="E30" s="135"/>
      <c r="F30" s="136"/>
      <c r="G30" s="57"/>
      <c r="H30" s="58"/>
      <c r="I30" s="67"/>
      <c r="J30" s="60"/>
    </row>
    <row r="31" spans="1:10" s="29" customFormat="1" ht="12.75" x14ac:dyDescent="0.25">
      <c r="A31" s="55"/>
      <c r="B31" s="68"/>
      <c r="C31" s="134"/>
      <c r="D31" s="135"/>
      <c r="E31" s="135"/>
      <c r="F31" s="136"/>
      <c r="G31" s="57"/>
      <c r="H31" s="58"/>
      <c r="I31" s="67"/>
      <c r="J31" s="60"/>
    </row>
    <row r="32" spans="1:10" s="29" customFormat="1" ht="12.75" x14ac:dyDescent="0.25">
      <c r="A32" s="55"/>
      <c r="B32" s="68"/>
      <c r="C32" s="134"/>
      <c r="D32" s="135"/>
      <c r="E32" s="135"/>
      <c r="F32" s="136"/>
      <c r="G32" s="57"/>
      <c r="H32" s="58"/>
      <c r="I32" s="67"/>
      <c r="J32" s="60"/>
    </row>
    <row r="33" spans="1:10" s="29" customFormat="1" ht="12.75" x14ac:dyDescent="0.25">
      <c r="A33" s="55"/>
      <c r="B33" s="68"/>
      <c r="C33" s="134"/>
      <c r="D33" s="135"/>
      <c r="E33" s="135"/>
      <c r="F33" s="136"/>
      <c r="G33" s="57"/>
      <c r="H33" s="58"/>
      <c r="I33" s="67"/>
      <c r="J33" s="60"/>
    </row>
    <row r="34" spans="1:10" s="29" customFormat="1" ht="12.75" x14ac:dyDescent="0.25">
      <c r="A34" s="55"/>
      <c r="B34" s="68"/>
      <c r="C34" s="134"/>
      <c r="D34" s="135"/>
      <c r="E34" s="135"/>
      <c r="F34" s="136"/>
      <c r="G34" s="57"/>
      <c r="H34" s="58"/>
      <c r="I34" s="67"/>
      <c r="J34" s="60"/>
    </row>
    <row r="35" spans="1:10" s="29" customFormat="1" ht="12.75" x14ac:dyDescent="0.25">
      <c r="A35" s="55"/>
      <c r="B35" s="68"/>
      <c r="C35" s="134"/>
      <c r="D35" s="135"/>
      <c r="E35" s="135"/>
      <c r="F35" s="136"/>
      <c r="G35" s="57"/>
      <c r="H35" s="58"/>
      <c r="I35" s="67"/>
      <c r="J35" s="60"/>
    </row>
    <row r="36" spans="1:10" s="29" customFormat="1" x14ac:dyDescent="0.25">
      <c r="A36" s="55"/>
      <c r="B36" s="56"/>
      <c r="C36" s="139"/>
      <c r="D36" s="135"/>
      <c r="E36" s="135"/>
      <c r="F36" s="136"/>
      <c r="G36" s="57"/>
      <c r="H36" s="58"/>
      <c r="I36" s="59"/>
      <c r="J36" s="60"/>
    </row>
    <row r="37" spans="1:10" s="29" customFormat="1" x14ac:dyDescent="0.25">
      <c r="A37" s="55"/>
      <c r="B37" s="56"/>
      <c r="C37" s="139"/>
      <c r="D37" s="135"/>
      <c r="E37" s="135"/>
      <c r="F37" s="136"/>
      <c r="G37" s="57"/>
      <c r="H37" s="58"/>
      <c r="I37" s="59"/>
      <c r="J37" s="60"/>
    </row>
    <row r="38" spans="1:10" s="29" customFormat="1" x14ac:dyDescent="0.25">
      <c r="A38" s="55"/>
      <c r="B38" s="56"/>
      <c r="C38" s="139"/>
      <c r="D38" s="135"/>
      <c r="E38" s="135"/>
      <c r="F38" s="136"/>
      <c r="G38" s="57"/>
      <c r="H38" s="58"/>
      <c r="I38" s="59"/>
      <c r="J38" s="60"/>
    </row>
    <row r="39" spans="1:10" s="29" customFormat="1" x14ac:dyDescent="0.25">
      <c r="A39" s="55"/>
      <c r="B39" s="56"/>
      <c r="C39" s="139"/>
      <c r="D39" s="135"/>
      <c r="E39" s="135"/>
      <c r="F39" s="136"/>
      <c r="G39" s="57"/>
      <c r="H39" s="58"/>
      <c r="I39" s="59"/>
      <c r="J39" s="60"/>
    </row>
    <row r="40" spans="1:10" s="29" customFormat="1" x14ac:dyDescent="0.25">
      <c r="A40" s="55"/>
      <c r="B40" s="56"/>
      <c r="C40" s="139"/>
      <c r="D40" s="135"/>
      <c r="E40" s="135"/>
      <c r="F40" s="136"/>
      <c r="G40" s="57"/>
      <c r="H40" s="58"/>
      <c r="I40" s="59"/>
      <c r="J40" s="60"/>
    </row>
    <row r="41" spans="1:10" s="29" customFormat="1" x14ac:dyDescent="0.25">
      <c r="A41" s="55"/>
      <c r="B41" s="56"/>
      <c r="C41" s="139"/>
      <c r="D41" s="135"/>
      <c r="E41" s="135"/>
      <c r="F41" s="136"/>
      <c r="G41" s="57"/>
      <c r="H41" s="58"/>
      <c r="I41" s="59"/>
      <c r="J41" s="60"/>
    </row>
    <row r="42" spans="1:10" s="29" customFormat="1" x14ac:dyDescent="0.25">
      <c r="A42" s="55"/>
      <c r="B42" s="56"/>
      <c r="C42" s="139"/>
      <c r="D42" s="135"/>
      <c r="E42" s="135"/>
      <c r="F42" s="136"/>
      <c r="G42" s="57"/>
      <c r="H42" s="58"/>
      <c r="I42" s="59"/>
      <c r="J42" s="60"/>
    </row>
    <row r="43" spans="1:10" s="29" customFormat="1" x14ac:dyDescent="0.25">
      <c r="A43" s="55"/>
      <c r="B43" s="56"/>
      <c r="C43" s="139"/>
      <c r="D43" s="135"/>
      <c r="E43" s="135"/>
      <c r="F43" s="136"/>
      <c r="G43" s="57"/>
      <c r="H43" s="58"/>
      <c r="I43" s="59"/>
      <c r="J43" s="60"/>
    </row>
    <row r="44" spans="1:10" s="29" customFormat="1" x14ac:dyDescent="0.25">
      <c r="A44" s="55"/>
      <c r="B44" s="56"/>
      <c r="C44" s="139"/>
      <c r="D44" s="135"/>
      <c r="E44" s="135"/>
      <c r="F44" s="136"/>
      <c r="G44" s="57"/>
      <c r="H44" s="58"/>
      <c r="I44" s="59"/>
      <c r="J44" s="60"/>
    </row>
    <row r="45" spans="1:10" s="29" customFormat="1" x14ac:dyDescent="0.25">
      <c r="A45" s="55"/>
      <c r="B45" s="56"/>
      <c r="C45" s="139"/>
      <c r="D45" s="135"/>
      <c r="E45" s="135"/>
      <c r="F45" s="136"/>
      <c r="G45" s="57"/>
      <c r="H45" s="58"/>
      <c r="I45" s="59"/>
      <c r="J45" s="60"/>
    </row>
    <row r="46" spans="1:10" s="29" customFormat="1" x14ac:dyDescent="0.25">
      <c r="A46" s="55"/>
      <c r="B46" s="56"/>
      <c r="C46" s="139"/>
      <c r="D46" s="135"/>
      <c r="E46" s="135"/>
      <c r="F46" s="136"/>
      <c r="G46" s="57"/>
      <c r="H46" s="58"/>
      <c r="I46" s="59"/>
      <c r="J46" s="60"/>
    </row>
    <row r="47" spans="1:10" s="29" customFormat="1" x14ac:dyDescent="0.25">
      <c r="A47" s="55"/>
      <c r="B47" s="56"/>
      <c r="C47" s="139"/>
      <c r="D47" s="135"/>
      <c r="E47" s="135"/>
      <c r="F47" s="136"/>
      <c r="G47" s="57"/>
      <c r="H47" s="58"/>
      <c r="I47" s="59"/>
      <c r="J47" s="60"/>
    </row>
    <row r="48" spans="1:10" s="29" customFormat="1" x14ac:dyDescent="0.25">
      <c r="A48" s="55"/>
      <c r="B48" s="56"/>
      <c r="C48" s="139"/>
      <c r="D48" s="135"/>
      <c r="E48" s="135"/>
      <c r="F48" s="136"/>
      <c r="G48" s="57"/>
      <c r="H48" s="58"/>
      <c r="I48" s="59"/>
      <c r="J48" s="60"/>
    </row>
    <row r="49" spans="1:10" s="29" customFormat="1" x14ac:dyDescent="0.25">
      <c r="A49" s="55"/>
      <c r="B49" s="56"/>
      <c r="C49" s="139"/>
      <c r="D49" s="135"/>
      <c r="E49" s="135"/>
      <c r="F49" s="136"/>
      <c r="G49" s="57"/>
      <c r="H49" s="58"/>
      <c r="I49" s="59"/>
      <c r="J49" s="60"/>
    </row>
    <row r="50" spans="1:10" s="29" customFormat="1" x14ac:dyDescent="0.25">
      <c r="A50" s="55"/>
      <c r="B50" s="56"/>
      <c r="C50" s="139"/>
      <c r="D50" s="135"/>
      <c r="E50" s="135"/>
      <c r="F50" s="136"/>
      <c r="G50" s="57"/>
      <c r="H50" s="58"/>
      <c r="I50" s="59"/>
      <c r="J50" s="60"/>
    </row>
    <row r="51" spans="1:10" s="29" customFormat="1" x14ac:dyDescent="0.25">
      <c r="A51" s="55"/>
      <c r="B51" s="56"/>
      <c r="C51" s="139"/>
      <c r="D51" s="135"/>
      <c r="E51" s="135"/>
      <c r="F51" s="136"/>
      <c r="G51" s="57"/>
      <c r="H51" s="58"/>
      <c r="I51" s="59"/>
      <c r="J51" s="60"/>
    </row>
    <row r="52" spans="1:10" s="29" customFormat="1" x14ac:dyDescent="0.25">
      <c r="A52" s="55"/>
      <c r="B52" s="56"/>
      <c r="C52" s="139"/>
      <c r="D52" s="135"/>
      <c r="E52" s="135"/>
      <c r="F52" s="136"/>
      <c r="G52" s="57"/>
      <c r="H52" s="58"/>
      <c r="I52" s="59"/>
      <c r="J52" s="60"/>
    </row>
    <row r="53" spans="1:10" s="29" customFormat="1" x14ac:dyDescent="0.25">
      <c r="A53" s="55"/>
      <c r="B53" s="56"/>
      <c r="C53" s="139"/>
      <c r="D53" s="135"/>
      <c r="E53" s="135"/>
      <c r="F53" s="136"/>
      <c r="G53" s="57"/>
      <c r="H53" s="58"/>
      <c r="I53" s="59"/>
      <c r="J53" s="60"/>
    </row>
    <row r="54" spans="1:10" s="29" customFormat="1" x14ac:dyDescent="0.25">
      <c r="A54" s="55"/>
      <c r="B54" s="56"/>
      <c r="C54" s="139"/>
      <c r="D54" s="135"/>
      <c r="E54" s="135"/>
      <c r="F54" s="136"/>
      <c r="G54" s="57"/>
      <c r="H54" s="58"/>
      <c r="I54" s="59"/>
      <c r="J54" s="60"/>
    </row>
    <row r="55" spans="1:10" s="29" customFormat="1" x14ac:dyDescent="0.25">
      <c r="A55" s="55"/>
      <c r="B55" s="56"/>
      <c r="C55" s="139"/>
      <c r="D55" s="135"/>
      <c r="E55" s="135"/>
      <c r="F55" s="136"/>
      <c r="G55" s="57"/>
      <c r="H55" s="58"/>
      <c r="I55" s="59"/>
      <c r="J55" s="60"/>
    </row>
    <row r="56" spans="1:10" s="29" customFormat="1" x14ac:dyDescent="0.25">
      <c r="A56" s="55"/>
      <c r="B56" s="56"/>
      <c r="C56" s="139"/>
      <c r="D56" s="135"/>
      <c r="E56" s="135"/>
      <c r="F56" s="136"/>
      <c r="G56" s="57"/>
      <c r="H56" s="58"/>
      <c r="I56" s="59"/>
      <c r="J56" s="60"/>
    </row>
    <row r="57" spans="1:10" s="29" customFormat="1" x14ac:dyDescent="0.25">
      <c r="A57" s="55"/>
      <c r="B57" s="56"/>
      <c r="C57" s="139"/>
      <c r="D57" s="135"/>
      <c r="E57" s="135"/>
      <c r="F57" s="136"/>
      <c r="G57" s="57"/>
      <c r="H57" s="58"/>
      <c r="I57" s="59"/>
      <c r="J57" s="60"/>
    </row>
    <row r="58" spans="1:10" s="29" customFormat="1" x14ac:dyDescent="0.25">
      <c r="A58" s="55"/>
      <c r="B58" s="56"/>
      <c r="C58" s="139"/>
      <c r="D58" s="135"/>
      <c r="E58" s="135"/>
      <c r="F58" s="136"/>
      <c r="G58" s="57"/>
      <c r="H58" s="58"/>
      <c r="I58" s="59"/>
      <c r="J58" s="60"/>
    </row>
    <row r="59" spans="1:10" s="29" customFormat="1" x14ac:dyDescent="0.25">
      <c r="A59" s="30"/>
      <c r="B59" s="31"/>
      <c r="C59" s="69"/>
      <c r="D59" s="70"/>
      <c r="E59" s="70"/>
      <c r="F59" s="71"/>
      <c r="G59" s="32"/>
      <c r="H59" s="33"/>
      <c r="I59" s="34"/>
      <c r="J59" s="35"/>
    </row>
    <row r="60" spans="1:10" s="29" customFormat="1" x14ac:dyDescent="0.25">
      <c r="A60" s="30"/>
      <c r="B60" s="31"/>
      <c r="C60" s="139"/>
      <c r="D60" s="135"/>
      <c r="E60" s="135"/>
      <c r="F60" s="136"/>
      <c r="G60" s="32"/>
      <c r="H60" s="33"/>
      <c r="I60" s="34"/>
      <c r="J60" s="35"/>
    </row>
    <row r="61" spans="1:10" s="29" customFormat="1" ht="12" thickBot="1" x14ac:dyDescent="0.3">
      <c r="A61" s="30"/>
      <c r="B61" s="31"/>
      <c r="C61" s="162"/>
      <c r="D61" s="162"/>
      <c r="E61" s="162"/>
      <c r="F61" s="162"/>
      <c r="G61" s="32"/>
      <c r="H61" s="33"/>
      <c r="I61" s="34" t="s">
        <v>26</v>
      </c>
      <c r="J61" s="35">
        <f>SUM(J17:J60)</f>
        <v>136916.32440000001</v>
      </c>
    </row>
    <row r="62" spans="1:10" x14ac:dyDescent="0.2">
      <c r="A62" s="39"/>
      <c r="B62" s="40"/>
      <c r="C62" s="40"/>
      <c r="D62" s="40"/>
      <c r="E62" s="40"/>
      <c r="F62" s="41"/>
      <c r="G62" s="48"/>
      <c r="H62" s="49"/>
      <c r="I62" s="50"/>
      <c r="J62" s="36"/>
    </row>
    <row r="63" spans="1:10" x14ac:dyDescent="0.2">
      <c r="A63" s="42" t="s">
        <v>27</v>
      </c>
      <c r="B63" s="21"/>
      <c r="C63" s="43"/>
      <c r="D63" s="43"/>
      <c r="E63" s="43"/>
      <c r="F63" s="44"/>
      <c r="G63" s="51"/>
      <c r="H63" s="52"/>
      <c r="I63" s="53"/>
      <c r="J63" s="37">
        <f>J61</f>
        <v>136916.32440000001</v>
      </c>
    </row>
    <row r="64" spans="1:10" ht="12" thickBot="1" x14ac:dyDescent="0.25">
      <c r="A64" s="45"/>
      <c r="B64" s="46"/>
      <c r="C64" s="46"/>
      <c r="D64" s="46"/>
      <c r="E64" s="46"/>
      <c r="F64" s="47"/>
      <c r="G64" s="54"/>
      <c r="H64" s="46"/>
      <c r="I64" s="47"/>
      <c r="J64" s="38"/>
    </row>
    <row r="65" spans="1:10" s="64" customFormat="1" x14ac:dyDescent="0.25">
      <c r="A65" s="61" t="s">
        <v>66</v>
      </c>
      <c r="B65" s="61" t="s">
        <v>67</v>
      </c>
      <c r="C65" s="62"/>
      <c r="D65" s="63"/>
      <c r="E65" s="63"/>
      <c r="F65" s="63"/>
      <c r="H65" s="65"/>
      <c r="I65" s="66"/>
      <c r="J65" s="66"/>
    </row>
    <row r="66" spans="1:10" s="64" customFormat="1" x14ac:dyDescent="0.25">
      <c r="A66" s="61"/>
      <c r="B66" s="61"/>
      <c r="C66" s="62"/>
      <c r="D66" s="63"/>
      <c r="E66" s="63"/>
      <c r="F66" s="63"/>
      <c r="H66" s="65"/>
      <c r="I66" s="66"/>
      <c r="J66" s="66"/>
    </row>
    <row r="67" spans="1:10" s="64" customFormat="1" x14ac:dyDescent="0.25">
      <c r="A67" s="61"/>
      <c r="B67" s="61"/>
      <c r="C67" s="62"/>
      <c r="D67" s="63"/>
      <c r="E67" s="63"/>
      <c r="F67" s="63"/>
      <c r="H67" s="65"/>
      <c r="I67" s="66"/>
      <c r="J67" s="66"/>
    </row>
    <row r="68" spans="1:10" s="64" customFormat="1" x14ac:dyDescent="0.25">
      <c r="A68" s="61"/>
      <c r="B68" s="61"/>
      <c r="C68" s="62"/>
      <c r="D68" s="63"/>
      <c r="E68" s="63"/>
      <c r="F68" s="63"/>
      <c r="H68" s="65"/>
      <c r="I68" s="66"/>
      <c r="J68" s="66"/>
    </row>
    <row r="69" spans="1:10" s="64" customFormat="1" x14ac:dyDescent="0.25">
      <c r="A69" s="61"/>
      <c r="B69" s="61"/>
      <c r="C69" s="62"/>
      <c r="D69" s="63"/>
      <c r="E69" s="63"/>
      <c r="F69" s="63"/>
      <c r="H69" s="65"/>
      <c r="I69" s="66"/>
      <c r="J69" s="66"/>
    </row>
    <row r="70" spans="1:10" s="64" customFormat="1" x14ac:dyDescent="0.25">
      <c r="A70" s="61"/>
      <c r="B70" s="61"/>
      <c r="C70" s="62"/>
      <c r="D70" s="63"/>
      <c r="E70" s="63"/>
      <c r="F70" s="63"/>
      <c r="H70" s="65"/>
      <c r="I70" s="66"/>
      <c r="J70" s="66"/>
    </row>
    <row r="71" spans="1:10" s="64" customFormat="1" x14ac:dyDescent="0.25">
      <c r="A71" s="61"/>
      <c r="B71" s="61"/>
      <c r="C71" s="62"/>
      <c r="D71" s="63"/>
      <c r="E71" s="63"/>
      <c r="F71" s="63"/>
      <c r="H71" s="65"/>
      <c r="I71" s="66"/>
      <c r="J71" s="66"/>
    </row>
    <row r="72" spans="1:10" s="64" customFormat="1" x14ac:dyDescent="0.25">
      <c r="A72" s="61"/>
      <c r="B72" s="61"/>
      <c r="C72" s="62"/>
      <c r="D72" s="63"/>
      <c r="E72" s="63"/>
      <c r="F72" s="63"/>
      <c r="H72" s="65"/>
      <c r="I72" s="66"/>
      <c r="J72" s="66"/>
    </row>
    <row r="73" spans="1:10" s="64" customFormat="1" x14ac:dyDescent="0.25">
      <c r="A73" s="61"/>
      <c r="B73" s="61"/>
      <c r="C73" s="62"/>
      <c r="D73" s="63"/>
      <c r="E73" s="63"/>
      <c r="F73" s="63"/>
      <c r="H73" s="65"/>
      <c r="I73" s="66"/>
      <c r="J73" s="66"/>
    </row>
    <row r="74" spans="1:10" s="64" customFormat="1" x14ac:dyDescent="0.25">
      <c r="A74" s="61"/>
      <c r="B74" s="61"/>
      <c r="C74" s="62"/>
      <c r="D74" s="63"/>
      <c r="E74" s="63"/>
      <c r="F74" s="63"/>
      <c r="H74" s="65"/>
      <c r="I74" s="66"/>
      <c r="J74" s="66"/>
    </row>
  </sheetData>
  <mergeCells count="8">
    <mergeCell ref="C61:F61"/>
    <mergeCell ref="C17:F17"/>
    <mergeCell ref="C18:F18"/>
    <mergeCell ref="C19:F19"/>
    <mergeCell ref="C20:F20"/>
    <mergeCell ref="C21:F21"/>
    <mergeCell ref="C22:F22"/>
    <mergeCell ref="C23:F23"/>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topLeftCell="A9" zoomScaleNormal="100" zoomScaleSheetLayoutView="100" workbookViewId="0">
      <selection activeCell="C19" sqref="C19:F19"/>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21" customHeight="1" x14ac:dyDescent="0.25">
      <c r="A1" s="115" t="s">
        <v>461</v>
      </c>
      <c r="B1" s="2"/>
      <c r="C1" s="2"/>
      <c r="D1" s="2"/>
      <c r="E1" s="2"/>
      <c r="F1" s="2"/>
      <c r="G1" s="2"/>
      <c r="H1" s="2"/>
      <c r="I1" s="2"/>
      <c r="J1" s="97"/>
    </row>
    <row r="2" spans="1:10" ht="4.5" customHeight="1"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ht="3.75" customHeight="1" x14ac:dyDescent="0.2">
      <c r="A5" s="5"/>
      <c r="B5" s="5"/>
      <c r="C5" s="6"/>
      <c r="D5" s="6"/>
      <c r="E5" s="6"/>
      <c r="F5" s="6"/>
      <c r="G5" s="6"/>
      <c r="H5" s="6"/>
      <c r="I5" s="6"/>
      <c r="J5" s="6"/>
    </row>
    <row r="6" spans="1:10" x14ac:dyDescent="0.2">
      <c r="A6" s="7" t="s">
        <v>0</v>
      </c>
      <c r="B6" s="7"/>
      <c r="C6" s="8" t="s">
        <v>34</v>
      </c>
      <c r="D6" s="9"/>
      <c r="E6" s="9"/>
      <c r="F6" s="9"/>
      <c r="G6" s="10" t="s">
        <v>1</v>
      </c>
      <c r="H6" s="8" t="s">
        <v>2</v>
      </c>
      <c r="I6" s="9"/>
      <c r="J6" s="9"/>
    </row>
    <row r="7" spans="1:10" x14ac:dyDescent="0.2">
      <c r="A7" s="7" t="s">
        <v>3</v>
      </c>
      <c r="B7" s="7"/>
      <c r="C7" s="8" t="s">
        <v>4</v>
      </c>
      <c r="D7" s="9"/>
      <c r="E7" s="9"/>
      <c r="F7" s="9"/>
      <c r="G7" s="10" t="s">
        <v>5</v>
      </c>
      <c r="H7" s="8" t="s">
        <v>6</v>
      </c>
      <c r="I7" s="9"/>
      <c r="J7" s="9"/>
    </row>
    <row r="8" spans="1:10" x14ac:dyDescent="0.2">
      <c r="A8" s="7" t="s">
        <v>7</v>
      </c>
      <c r="B8" s="7"/>
      <c r="C8" s="8" t="s">
        <v>36</v>
      </c>
      <c r="D8" s="9"/>
      <c r="E8" s="9"/>
      <c r="F8" s="9"/>
      <c r="G8" s="10" t="s">
        <v>8</v>
      </c>
      <c r="H8" s="8" t="s">
        <v>36</v>
      </c>
      <c r="I8" s="9"/>
      <c r="J8" s="9"/>
    </row>
    <row r="9" spans="1:10" x14ac:dyDescent="0.2">
      <c r="A9" s="11" t="s">
        <v>29</v>
      </c>
      <c r="B9" s="11"/>
      <c r="C9" s="12"/>
      <c r="D9" s="12"/>
      <c r="E9" s="12"/>
      <c r="F9" s="12"/>
      <c r="G9" s="12"/>
      <c r="H9" s="12"/>
      <c r="I9" s="12"/>
      <c r="J9" s="12"/>
    </row>
    <row r="10" spans="1:10" ht="15" customHeight="1" x14ac:dyDescent="0.2">
      <c r="A10" s="13" t="s">
        <v>9</v>
      </c>
      <c r="B10" s="13"/>
      <c r="C10" s="14"/>
      <c r="D10" s="14"/>
      <c r="E10" s="14"/>
      <c r="F10" s="14"/>
      <c r="G10" s="14"/>
      <c r="H10" s="14"/>
      <c r="I10" s="14"/>
      <c r="J10" s="14"/>
    </row>
    <row r="11" spans="1:10" ht="12" customHeight="1" x14ac:dyDescent="0.2">
      <c r="A11" s="15" t="s">
        <v>10</v>
      </c>
      <c r="B11" s="15"/>
      <c r="C11" s="16" t="s">
        <v>464</v>
      </c>
    </row>
    <row r="12" spans="1:10" ht="10.15" customHeight="1" x14ac:dyDescent="0.2">
      <c r="A12" s="15" t="s">
        <v>11</v>
      </c>
      <c r="B12" s="15"/>
      <c r="C12" s="3" t="s">
        <v>12</v>
      </c>
      <c r="G12" s="15"/>
      <c r="I12" s="15" t="s">
        <v>13</v>
      </c>
    </row>
    <row r="13" spans="1:10" ht="10.15" customHeight="1" x14ac:dyDescent="0.2">
      <c r="A13" s="15" t="s">
        <v>14</v>
      </c>
      <c r="B13" s="15"/>
      <c r="C13" s="16" t="s">
        <v>35</v>
      </c>
      <c r="G13" s="15"/>
      <c r="I13" s="15" t="s">
        <v>15</v>
      </c>
    </row>
    <row r="14" spans="1:10" ht="10.15" customHeight="1" x14ac:dyDescent="0.2">
      <c r="A14" s="15" t="s">
        <v>16</v>
      </c>
      <c r="B14" s="15"/>
      <c r="C14" s="17">
        <f>J67</f>
        <v>74407.597800000018</v>
      </c>
      <c r="E14" s="15" t="s">
        <v>17</v>
      </c>
      <c r="F14" s="3" t="s">
        <v>18</v>
      </c>
      <c r="G14" s="15"/>
      <c r="I14" s="15"/>
      <c r="J14" s="18"/>
    </row>
    <row r="15" spans="1:10" x14ac:dyDescent="0.2">
      <c r="A15" s="19" t="s">
        <v>19</v>
      </c>
      <c r="B15" s="20"/>
      <c r="C15" s="21" t="s">
        <v>20</v>
      </c>
      <c r="D15" s="21"/>
      <c r="E15" s="21"/>
      <c r="F15" s="20"/>
      <c r="G15" s="22" t="s">
        <v>21</v>
      </c>
      <c r="H15" s="23" t="s">
        <v>22</v>
      </c>
      <c r="I15" s="23" t="s">
        <v>23</v>
      </c>
      <c r="J15" s="23" t="s">
        <v>24</v>
      </c>
    </row>
    <row r="16" spans="1:10" x14ac:dyDescent="0.2">
      <c r="A16" s="24" t="s">
        <v>25</v>
      </c>
      <c r="B16" s="25"/>
      <c r="C16" s="26"/>
      <c r="D16" s="26"/>
      <c r="E16" s="26"/>
      <c r="F16" s="26"/>
      <c r="G16" s="26"/>
      <c r="H16" s="27"/>
      <c r="I16" s="27"/>
      <c r="J16" s="28"/>
    </row>
    <row r="17" spans="1:10" s="29" customFormat="1" ht="114" customHeight="1" x14ac:dyDescent="0.25">
      <c r="A17" s="55" t="s">
        <v>28</v>
      </c>
      <c r="B17" s="56"/>
      <c r="C17" s="157" t="s">
        <v>78</v>
      </c>
      <c r="D17" s="158"/>
      <c r="E17" s="158"/>
      <c r="F17" s="158"/>
      <c r="G17" s="57" t="s">
        <v>46</v>
      </c>
      <c r="H17" s="58">
        <v>244.73</v>
      </c>
      <c r="I17" s="59">
        <v>24.32</v>
      </c>
      <c r="J17" s="60">
        <f>I17*H17</f>
        <v>5951.8335999999999</v>
      </c>
    </row>
    <row r="18" spans="1:10" s="29" customFormat="1" ht="129" customHeight="1" x14ac:dyDescent="0.25">
      <c r="A18" s="55" t="s">
        <v>30</v>
      </c>
      <c r="B18" s="56"/>
      <c r="C18" s="158" t="s">
        <v>101</v>
      </c>
      <c r="D18" s="158"/>
      <c r="E18" s="158"/>
      <c r="F18" s="158"/>
      <c r="G18" s="57" t="s">
        <v>46</v>
      </c>
      <c r="H18" s="58">
        <v>394.67</v>
      </c>
      <c r="I18" s="59">
        <v>32.26</v>
      </c>
      <c r="J18" s="60">
        <f t="shared" ref="J18:J20" si="0">I18*H18</f>
        <v>12732.0542</v>
      </c>
    </row>
    <row r="19" spans="1:10" s="29" customFormat="1" ht="114" customHeight="1" x14ac:dyDescent="0.25">
      <c r="A19" s="55" t="s">
        <v>31</v>
      </c>
      <c r="B19" s="56"/>
      <c r="C19" s="158" t="s">
        <v>102</v>
      </c>
      <c r="D19" s="158"/>
      <c r="E19" s="158"/>
      <c r="F19" s="158"/>
      <c r="G19" s="57" t="s">
        <v>49</v>
      </c>
      <c r="H19" s="58">
        <v>0</v>
      </c>
      <c r="I19" s="59">
        <v>86.3</v>
      </c>
      <c r="J19" s="60">
        <f t="shared" si="0"/>
        <v>0</v>
      </c>
    </row>
    <row r="20" spans="1:10" s="29" customFormat="1" ht="114" customHeight="1" x14ac:dyDescent="0.25">
      <c r="A20" s="55" t="s">
        <v>32</v>
      </c>
      <c r="B20" s="56"/>
      <c r="C20" s="158" t="s">
        <v>103</v>
      </c>
      <c r="D20" s="158"/>
      <c r="E20" s="158"/>
      <c r="F20" s="158"/>
      <c r="G20" s="57" t="s">
        <v>49</v>
      </c>
      <c r="H20" s="58">
        <v>0</v>
      </c>
      <c r="I20" s="59">
        <v>98.15</v>
      </c>
      <c r="J20" s="60">
        <f t="shared" si="0"/>
        <v>0</v>
      </c>
    </row>
    <row r="21" spans="1:10" s="29" customFormat="1" ht="103.5" customHeight="1" x14ac:dyDescent="0.25">
      <c r="A21" s="55" t="s">
        <v>33</v>
      </c>
      <c r="B21" s="68"/>
      <c r="C21" s="158" t="s">
        <v>104</v>
      </c>
      <c r="D21" s="158"/>
      <c r="E21" s="158"/>
      <c r="F21" s="158"/>
      <c r="G21" s="57" t="s">
        <v>46</v>
      </c>
      <c r="H21" s="58">
        <f>H18</f>
        <v>394.67</v>
      </c>
      <c r="I21" s="67">
        <v>87.15</v>
      </c>
      <c r="J21" s="60">
        <f t="shared" ref="J21:J25" si="1">H21*I21</f>
        <v>34395.490500000007</v>
      </c>
    </row>
    <row r="22" spans="1:10" s="29" customFormat="1" ht="114.75" customHeight="1" x14ac:dyDescent="0.25">
      <c r="A22" s="55" t="s">
        <v>37</v>
      </c>
      <c r="B22" s="68"/>
      <c r="C22" s="158" t="s">
        <v>105</v>
      </c>
      <c r="D22" s="158"/>
      <c r="E22" s="158"/>
      <c r="F22" s="158"/>
      <c r="G22" s="57" t="s">
        <v>46</v>
      </c>
      <c r="H22" s="58">
        <f>H17</f>
        <v>244.73</v>
      </c>
      <c r="I22" s="67">
        <v>87.15</v>
      </c>
      <c r="J22" s="60">
        <f t="shared" ref="J22:J23" si="2">H22*I22</f>
        <v>21328.219499999999</v>
      </c>
    </row>
    <row r="23" spans="1:10" s="29" customFormat="1" ht="114.75" customHeight="1" x14ac:dyDescent="0.25">
      <c r="A23" s="55" t="s">
        <v>38</v>
      </c>
      <c r="B23" s="68"/>
      <c r="C23" s="158" t="s">
        <v>453</v>
      </c>
      <c r="D23" s="158"/>
      <c r="E23" s="158"/>
      <c r="F23" s="158"/>
      <c r="G23" s="57" t="s">
        <v>48</v>
      </c>
      <c r="H23" s="58">
        <v>0</v>
      </c>
      <c r="I23" s="67">
        <v>87.15</v>
      </c>
      <c r="J23" s="60">
        <f t="shared" si="2"/>
        <v>0</v>
      </c>
    </row>
    <row r="24" spans="1:10" s="29" customFormat="1" ht="103.5" customHeight="1" x14ac:dyDescent="0.25">
      <c r="A24" s="55" t="s">
        <v>39</v>
      </c>
      <c r="B24" s="68"/>
      <c r="C24" s="158" t="s">
        <v>454</v>
      </c>
      <c r="D24" s="158"/>
      <c r="E24" s="158"/>
      <c r="F24" s="158"/>
      <c r="G24" s="57" t="s">
        <v>46</v>
      </c>
      <c r="H24" s="58">
        <v>0</v>
      </c>
      <c r="I24" s="67">
        <v>87.15</v>
      </c>
      <c r="J24" s="60">
        <f t="shared" si="1"/>
        <v>0</v>
      </c>
    </row>
    <row r="25" spans="1:10" s="29" customFormat="1" ht="117" customHeight="1" x14ac:dyDescent="0.25">
      <c r="A25" s="55" t="s">
        <v>40</v>
      </c>
      <c r="B25" s="68"/>
      <c r="C25" s="158" t="s">
        <v>138</v>
      </c>
      <c r="D25" s="158"/>
      <c r="E25" s="158"/>
      <c r="F25" s="158"/>
      <c r="G25" s="57" t="s">
        <v>49</v>
      </c>
      <c r="H25" s="58">
        <v>0</v>
      </c>
      <c r="I25" s="67">
        <v>535</v>
      </c>
      <c r="J25" s="60">
        <f t="shared" si="1"/>
        <v>0</v>
      </c>
    </row>
    <row r="26" spans="1:10" s="29" customFormat="1" ht="147.75" customHeight="1" x14ac:dyDescent="0.25">
      <c r="A26" s="55" t="s">
        <v>42</v>
      </c>
      <c r="B26" s="68"/>
      <c r="C26" s="158" t="s">
        <v>452</v>
      </c>
      <c r="D26" s="158"/>
      <c r="E26" s="158"/>
      <c r="F26" s="158"/>
      <c r="G26" s="57" t="s">
        <v>49</v>
      </c>
      <c r="H26" s="58">
        <v>0</v>
      </c>
      <c r="I26" s="67">
        <v>326</v>
      </c>
      <c r="J26" s="60">
        <f t="shared" ref="J26" si="3">H26*I26</f>
        <v>0</v>
      </c>
    </row>
    <row r="27" spans="1:10" s="29" customFormat="1" ht="125.25" customHeight="1" x14ac:dyDescent="0.25">
      <c r="A27" s="55" t="s">
        <v>43</v>
      </c>
      <c r="B27" s="68"/>
      <c r="C27" s="158" t="s">
        <v>451</v>
      </c>
      <c r="D27" s="158"/>
      <c r="E27" s="158"/>
      <c r="F27" s="158"/>
      <c r="G27" s="57" t="s">
        <v>49</v>
      </c>
      <c r="H27" s="58">
        <v>0</v>
      </c>
      <c r="I27" s="67">
        <v>326</v>
      </c>
      <c r="J27" s="60">
        <f t="shared" ref="J27" si="4">H27*I27</f>
        <v>0</v>
      </c>
    </row>
    <row r="28" spans="1:10" s="29" customFormat="1" ht="12.75" x14ac:dyDescent="0.25">
      <c r="A28" s="55"/>
      <c r="B28" s="68"/>
      <c r="C28" s="134"/>
      <c r="D28" s="135"/>
      <c r="E28" s="135"/>
      <c r="F28" s="136"/>
      <c r="G28" s="57"/>
      <c r="H28" s="58"/>
      <c r="I28" s="67"/>
      <c r="J28" s="60"/>
    </row>
    <row r="29" spans="1:10" s="29" customFormat="1" ht="12.75" x14ac:dyDescent="0.25">
      <c r="A29" s="55"/>
      <c r="B29" s="68"/>
      <c r="C29" s="134"/>
      <c r="D29" s="135"/>
      <c r="E29" s="135"/>
      <c r="F29" s="136"/>
      <c r="G29" s="57"/>
      <c r="H29" s="58"/>
      <c r="I29" s="67"/>
      <c r="J29" s="60"/>
    </row>
    <row r="30" spans="1:10" s="29" customFormat="1" ht="12.75" x14ac:dyDescent="0.25">
      <c r="A30" s="55"/>
      <c r="B30" s="68"/>
      <c r="C30" s="134"/>
      <c r="D30" s="135"/>
      <c r="E30" s="135"/>
      <c r="F30" s="136"/>
      <c r="G30" s="57"/>
      <c r="H30" s="58"/>
      <c r="I30" s="67"/>
      <c r="J30" s="60"/>
    </row>
    <row r="31" spans="1:10" s="29" customFormat="1" ht="12.75" x14ac:dyDescent="0.25">
      <c r="A31" s="55"/>
      <c r="B31" s="68"/>
      <c r="C31" s="134"/>
      <c r="D31" s="135"/>
      <c r="E31" s="135"/>
      <c r="F31" s="136"/>
      <c r="G31" s="57"/>
      <c r="H31" s="58"/>
      <c r="I31" s="67"/>
      <c r="J31" s="60"/>
    </row>
    <row r="32" spans="1:10" s="29" customFormat="1" ht="12.75" x14ac:dyDescent="0.25">
      <c r="A32" s="55"/>
      <c r="B32" s="68"/>
      <c r="C32" s="134"/>
      <c r="D32" s="135"/>
      <c r="E32" s="135"/>
      <c r="F32" s="136"/>
      <c r="G32" s="57"/>
      <c r="H32" s="58"/>
      <c r="I32" s="67"/>
      <c r="J32" s="60"/>
    </row>
    <row r="33" spans="1:10" s="29" customFormat="1" ht="12.75" x14ac:dyDescent="0.25">
      <c r="A33" s="55"/>
      <c r="B33" s="68"/>
      <c r="C33" s="134"/>
      <c r="D33" s="135"/>
      <c r="E33" s="135"/>
      <c r="F33" s="136"/>
      <c r="G33" s="57"/>
      <c r="H33" s="58"/>
      <c r="I33" s="67"/>
      <c r="J33" s="60"/>
    </row>
    <row r="34" spans="1:10" s="29" customFormat="1" ht="12.75" x14ac:dyDescent="0.25">
      <c r="A34" s="55"/>
      <c r="B34" s="68"/>
      <c r="C34" s="134"/>
      <c r="D34" s="135"/>
      <c r="E34" s="135"/>
      <c r="F34" s="136"/>
      <c r="G34" s="57"/>
      <c r="H34" s="58"/>
      <c r="I34" s="67"/>
      <c r="J34" s="60"/>
    </row>
    <row r="35" spans="1:10" s="29" customFormat="1" ht="12.75" x14ac:dyDescent="0.25">
      <c r="A35" s="55"/>
      <c r="B35" s="68"/>
      <c r="C35" s="134"/>
      <c r="D35" s="135"/>
      <c r="E35" s="135"/>
      <c r="F35" s="136"/>
      <c r="G35" s="57"/>
      <c r="H35" s="58"/>
      <c r="I35" s="67"/>
      <c r="J35" s="60"/>
    </row>
    <row r="36" spans="1:10" s="29" customFormat="1" ht="12.75" x14ac:dyDescent="0.25">
      <c r="A36" s="55"/>
      <c r="B36" s="68"/>
      <c r="C36" s="134"/>
      <c r="D36" s="135"/>
      <c r="E36" s="135"/>
      <c r="F36" s="136"/>
      <c r="G36" s="57"/>
      <c r="H36" s="58"/>
      <c r="I36" s="67"/>
      <c r="J36" s="60"/>
    </row>
    <row r="37" spans="1:10" s="29" customFormat="1" ht="12.75" x14ac:dyDescent="0.25">
      <c r="A37" s="55"/>
      <c r="B37" s="68"/>
      <c r="C37" s="134"/>
      <c r="D37" s="135"/>
      <c r="E37" s="135"/>
      <c r="F37" s="136"/>
      <c r="G37" s="57"/>
      <c r="H37" s="58"/>
      <c r="I37" s="67"/>
      <c r="J37" s="60"/>
    </row>
    <row r="38" spans="1:10" s="29" customFormat="1" ht="12.75" x14ac:dyDescent="0.25">
      <c r="A38" s="55"/>
      <c r="B38" s="68"/>
      <c r="C38" s="134"/>
      <c r="D38" s="135"/>
      <c r="E38" s="135"/>
      <c r="F38" s="136"/>
      <c r="G38" s="57"/>
      <c r="H38" s="58"/>
      <c r="I38" s="67"/>
      <c r="J38" s="60"/>
    </row>
    <row r="39" spans="1:10" s="29" customFormat="1" ht="12.75" x14ac:dyDescent="0.25">
      <c r="A39" s="55"/>
      <c r="B39" s="68"/>
      <c r="C39" s="134"/>
      <c r="D39" s="135"/>
      <c r="E39" s="135"/>
      <c r="F39" s="136"/>
      <c r="G39" s="57"/>
      <c r="H39" s="58"/>
      <c r="I39" s="67"/>
      <c r="J39" s="60"/>
    </row>
    <row r="40" spans="1:10" s="29" customFormat="1" x14ac:dyDescent="0.25">
      <c r="A40" s="55"/>
      <c r="B40" s="56"/>
      <c r="C40" s="139"/>
      <c r="D40" s="135"/>
      <c r="E40" s="135"/>
      <c r="F40" s="136"/>
      <c r="G40" s="57"/>
      <c r="H40" s="58"/>
      <c r="I40" s="59"/>
      <c r="J40" s="60"/>
    </row>
    <row r="41" spans="1:10" s="29" customFormat="1" x14ac:dyDescent="0.25">
      <c r="A41" s="55"/>
      <c r="B41" s="56"/>
      <c r="C41" s="139"/>
      <c r="D41" s="135"/>
      <c r="E41" s="135"/>
      <c r="F41" s="136"/>
      <c r="G41" s="57"/>
      <c r="H41" s="58"/>
      <c r="I41" s="59"/>
      <c r="J41" s="60"/>
    </row>
    <row r="42" spans="1:10" s="29" customFormat="1" x14ac:dyDescent="0.25">
      <c r="A42" s="55"/>
      <c r="B42" s="56"/>
      <c r="C42" s="139"/>
      <c r="D42" s="135"/>
      <c r="E42" s="135"/>
      <c r="F42" s="136"/>
      <c r="G42" s="57"/>
      <c r="H42" s="58"/>
      <c r="I42" s="59"/>
      <c r="J42" s="60"/>
    </row>
    <row r="43" spans="1:10" s="29" customFormat="1" x14ac:dyDescent="0.25">
      <c r="A43" s="55"/>
      <c r="B43" s="56"/>
      <c r="C43" s="139"/>
      <c r="D43" s="135"/>
      <c r="E43" s="135"/>
      <c r="F43" s="136"/>
      <c r="G43" s="57"/>
      <c r="H43" s="58"/>
      <c r="I43" s="59"/>
      <c r="J43" s="60"/>
    </row>
    <row r="44" spans="1:10" s="29" customFormat="1" x14ac:dyDescent="0.25">
      <c r="A44" s="55"/>
      <c r="B44" s="56"/>
      <c r="C44" s="139"/>
      <c r="D44" s="135"/>
      <c r="E44" s="135"/>
      <c r="F44" s="136"/>
      <c r="G44" s="57"/>
      <c r="H44" s="58"/>
      <c r="I44" s="59"/>
      <c r="J44" s="60"/>
    </row>
    <row r="45" spans="1:10" s="29" customFormat="1" x14ac:dyDescent="0.25">
      <c r="A45" s="55"/>
      <c r="B45" s="56"/>
      <c r="C45" s="139"/>
      <c r="D45" s="135"/>
      <c r="E45" s="135"/>
      <c r="F45" s="136"/>
      <c r="G45" s="57"/>
      <c r="H45" s="58"/>
      <c r="I45" s="59"/>
      <c r="J45" s="60"/>
    </row>
    <row r="46" spans="1:10" s="29" customFormat="1" x14ac:dyDescent="0.25">
      <c r="A46" s="55"/>
      <c r="B46" s="56"/>
      <c r="C46" s="139"/>
      <c r="D46" s="135"/>
      <c r="E46" s="135"/>
      <c r="F46" s="136"/>
      <c r="G46" s="57"/>
      <c r="H46" s="58"/>
      <c r="I46" s="59"/>
      <c r="J46" s="60"/>
    </row>
    <row r="47" spans="1:10" s="29" customFormat="1" x14ac:dyDescent="0.25">
      <c r="A47" s="55"/>
      <c r="B47" s="56"/>
      <c r="C47" s="139"/>
      <c r="D47" s="135"/>
      <c r="E47" s="135"/>
      <c r="F47" s="136"/>
      <c r="G47" s="57"/>
      <c r="H47" s="58"/>
      <c r="I47" s="59"/>
      <c r="J47" s="60"/>
    </row>
    <row r="48" spans="1:10" s="29" customFormat="1" x14ac:dyDescent="0.25">
      <c r="A48" s="55"/>
      <c r="B48" s="56"/>
      <c r="C48" s="139"/>
      <c r="D48" s="135"/>
      <c r="E48" s="135"/>
      <c r="F48" s="136"/>
      <c r="G48" s="57"/>
      <c r="H48" s="58"/>
      <c r="I48" s="59"/>
      <c r="J48" s="60"/>
    </row>
    <row r="49" spans="1:10" s="29" customFormat="1" x14ac:dyDescent="0.25">
      <c r="A49" s="55"/>
      <c r="B49" s="56"/>
      <c r="C49" s="139"/>
      <c r="D49" s="135"/>
      <c r="E49" s="135"/>
      <c r="F49" s="136"/>
      <c r="G49" s="57"/>
      <c r="H49" s="58"/>
      <c r="I49" s="59"/>
      <c r="J49" s="60"/>
    </row>
    <row r="50" spans="1:10" s="29" customFormat="1" x14ac:dyDescent="0.25">
      <c r="A50" s="55"/>
      <c r="B50" s="56"/>
      <c r="C50" s="139"/>
      <c r="D50" s="135"/>
      <c r="E50" s="135"/>
      <c r="F50" s="136"/>
      <c r="G50" s="57"/>
      <c r="H50" s="58"/>
      <c r="I50" s="59"/>
      <c r="J50" s="60"/>
    </row>
    <row r="51" spans="1:10" s="29" customFormat="1" x14ac:dyDescent="0.25">
      <c r="A51" s="55"/>
      <c r="B51" s="56"/>
      <c r="C51" s="139"/>
      <c r="D51" s="135"/>
      <c r="E51" s="135"/>
      <c r="F51" s="136"/>
      <c r="G51" s="57"/>
      <c r="H51" s="58"/>
      <c r="I51" s="59"/>
      <c r="J51" s="60"/>
    </row>
    <row r="52" spans="1:10" s="29" customFormat="1" x14ac:dyDescent="0.25">
      <c r="A52" s="55"/>
      <c r="B52" s="56"/>
      <c r="C52" s="139"/>
      <c r="D52" s="135"/>
      <c r="E52" s="135"/>
      <c r="F52" s="136"/>
      <c r="G52" s="57"/>
      <c r="H52" s="58"/>
      <c r="I52" s="59"/>
      <c r="J52" s="60"/>
    </row>
    <row r="53" spans="1:10" s="29" customFormat="1" x14ac:dyDescent="0.25">
      <c r="A53" s="55"/>
      <c r="B53" s="56"/>
      <c r="C53" s="139"/>
      <c r="D53" s="135"/>
      <c r="E53" s="135"/>
      <c r="F53" s="136"/>
      <c r="G53" s="57"/>
      <c r="H53" s="58"/>
      <c r="I53" s="59"/>
      <c r="J53" s="60"/>
    </row>
    <row r="54" spans="1:10" s="29" customFormat="1" x14ac:dyDescent="0.25">
      <c r="A54" s="55"/>
      <c r="B54" s="56"/>
      <c r="C54" s="139"/>
      <c r="D54" s="135"/>
      <c r="E54" s="135"/>
      <c r="F54" s="136"/>
      <c r="G54" s="57"/>
      <c r="H54" s="58"/>
      <c r="I54" s="59"/>
      <c r="J54" s="60"/>
    </row>
    <row r="55" spans="1:10" s="29" customFormat="1" x14ac:dyDescent="0.25">
      <c r="A55" s="55"/>
      <c r="B55" s="56"/>
      <c r="C55" s="139"/>
      <c r="D55" s="135"/>
      <c r="E55" s="135"/>
      <c r="F55" s="136"/>
      <c r="G55" s="57"/>
      <c r="H55" s="58"/>
      <c r="I55" s="59"/>
      <c r="J55" s="60"/>
    </row>
    <row r="56" spans="1:10" s="29" customFormat="1" x14ac:dyDescent="0.25">
      <c r="A56" s="55"/>
      <c r="B56" s="56"/>
      <c r="C56" s="139"/>
      <c r="D56" s="135"/>
      <c r="E56" s="135"/>
      <c r="F56" s="136"/>
      <c r="G56" s="57"/>
      <c r="H56" s="58"/>
      <c r="I56" s="59"/>
      <c r="J56" s="60"/>
    </row>
    <row r="57" spans="1:10" s="29" customFormat="1" x14ac:dyDescent="0.25">
      <c r="A57" s="55"/>
      <c r="B57" s="56"/>
      <c r="C57" s="139"/>
      <c r="D57" s="135"/>
      <c r="E57" s="135"/>
      <c r="F57" s="136"/>
      <c r="G57" s="57"/>
      <c r="H57" s="58"/>
      <c r="I57" s="59"/>
      <c r="J57" s="60"/>
    </row>
    <row r="58" spans="1:10" s="29" customFormat="1" x14ac:dyDescent="0.25">
      <c r="A58" s="55"/>
      <c r="B58" s="56"/>
      <c r="C58" s="139"/>
      <c r="D58" s="135"/>
      <c r="E58" s="135"/>
      <c r="F58" s="136"/>
      <c r="G58" s="57"/>
      <c r="H58" s="58"/>
      <c r="I58" s="59"/>
      <c r="J58" s="60"/>
    </row>
    <row r="59" spans="1:10" s="29" customFormat="1" x14ac:dyDescent="0.25">
      <c r="A59" s="55"/>
      <c r="B59" s="56"/>
      <c r="C59" s="139"/>
      <c r="D59" s="135"/>
      <c r="E59" s="135"/>
      <c r="F59" s="136"/>
      <c r="G59" s="57"/>
      <c r="H59" s="58"/>
      <c r="I59" s="59"/>
      <c r="J59" s="60"/>
    </row>
    <row r="60" spans="1:10" s="29" customFormat="1" x14ac:dyDescent="0.25">
      <c r="A60" s="55"/>
      <c r="B60" s="56"/>
      <c r="C60" s="139"/>
      <c r="D60" s="135"/>
      <c r="E60" s="135"/>
      <c r="F60" s="136"/>
      <c r="G60" s="57"/>
      <c r="H60" s="58"/>
      <c r="I60" s="59"/>
      <c r="J60" s="60"/>
    </row>
    <row r="61" spans="1:10" s="29" customFormat="1" x14ac:dyDescent="0.25">
      <c r="A61" s="55"/>
      <c r="B61" s="56"/>
      <c r="C61" s="139"/>
      <c r="D61" s="135"/>
      <c r="E61" s="135"/>
      <c r="F61" s="136"/>
      <c r="G61" s="57"/>
      <c r="H61" s="58"/>
      <c r="I61" s="59"/>
      <c r="J61" s="60"/>
    </row>
    <row r="62" spans="1:10" s="29" customFormat="1" x14ac:dyDescent="0.25">
      <c r="A62" s="55"/>
      <c r="B62" s="56"/>
      <c r="C62" s="139"/>
      <c r="D62" s="135"/>
      <c r="E62" s="135"/>
      <c r="F62" s="136"/>
      <c r="G62" s="57"/>
      <c r="H62" s="58"/>
      <c r="I62" s="59"/>
      <c r="J62" s="60"/>
    </row>
    <row r="63" spans="1:10" s="29" customFormat="1" x14ac:dyDescent="0.25">
      <c r="A63" s="30"/>
      <c r="B63" s="31"/>
      <c r="C63" s="69"/>
      <c r="D63" s="70"/>
      <c r="E63" s="70"/>
      <c r="F63" s="71"/>
      <c r="G63" s="32"/>
      <c r="H63" s="33"/>
      <c r="I63" s="34"/>
      <c r="J63" s="35"/>
    </row>
    <row r="64" spans="1:10" s="29" customFormat="1" x14ac:dyDescent="0.25">
      <c r="A64" s="30"/>
      <c r="B64" s="31"/>
      <c r="C64" s="139"/>
      <c r="D64" s="135"/>
      <c r="E64" s="135"/>
      <c r="F64" s="136"/>
      <c r="G64" s="32"/>
      <c r="H64" s="33"/>
      <c r="I64" s="34"/>
      <c r="J64" s="35"/>
    </row>
    <row r="65" spans="1:10" s="29" customFormat="1" ht="12" thickBot="1" x14ac:dyDescent="0.3">
      <c r="A65" s="30"/>
      <c r="B65" s="31"/>
      <c r="C65" s="162"/>
      <c r="D65" s="162"/>
      <c r="E65" s="162"/>
      <c r="F65" s="162"/>
      <c r="G65" s="32"/>
      <c r="H65" s="33"/>
      <c r="I65" s="34" t="s">
        <v>26</v>
      </c>
      <c r="J65" s="35">
        <f>SUM(J17:J64)</f>
        <v>74407.597800000018</v>
      </c>
    </row>
    <row r="66" spans="1:10" x14ac:dyDescent="0.2">
      <c r="A66" s="39"/>
      <c r="B66" s="40"/>
      <c r="C66" s="40"/>
      <c r="D66" s="40"/>
      <c r="E66" s="40"/>
      <c r="F66" s="41"/>
      <c r="G66" s="48"/>
      <c r="H66" s="49"/>
      <c r="I66" s="50"/>
      <c r="J66" s="36"/>
    </row>
    <row r="67" spans="1:10" x14ac:dyDescent="0.2">
      <c r="A67" s="42" t="s">
        <v>27</v>
      </c>
      <c r="B67" s="21"/>
      <c r="C67" s="43"/>
      <c r="D67" s="43"/>
      <c r="E67" s="43"/>
      <c r="F67" s="44"/>
      <c r="G67" s="51"/>
      <c r="H67" s="52"/>
      <c r="I67" s="53"/>
      <c r="J67" s="37">
        <f>J65</f>
        <v>74407.597800000018</v>
      </c>
    </row>
    <row r="68" spans="1:10" ht="12" thickBot="1" x14ac:dyDescent="0.25">
      <c r="A68" s="45"/>
      <c r="B68" s="46"/>
      <c r="C68" s="46"/>
      <c r="D68" s="46"/>
      <c r="E68" s="46"/>
      <c r="F68" s="47"/>
      <c r="G68" s="54"/>
      <c r="H68" s="46"/>
      <c r="I68" s="47"/>
      <c r="J68" s="38"/>
    </row>
    <row r="69" spans="1:10" s="64" customFormat="1" x14ac:dyDescent="0.25">
      <c r="A69" s="61" t="s">
        <v>66</v>
      </c>
      <c r="B69" s="61" t="s">
        <v>67</v>
      </c>
      <c r="C69" s="62"/>
      <c r="D69" s="63"/>
      <c r="E69" s="63"/>
      <c r="F69" s="63"/>
      <c r="H69" s="65"/>
      <c r="I69" s="66"/>
      <c r="J69" s="66"/>
    </row>
    <row r="70" spans="1:10" s="64" customFormat="1" x14ac:dyDescent="0.25">
      <c r="A70" s="61"/>
      <c r="B70" s="61"/>
      <c r="C70" s="62"/>
      <c r="D70" s="63"/>
      <c r="E70" s="63"/>
      <c r="F70" s="63"/>
      <c r="H70" s="65"/>
      <c r="I70" s="66"/>
      <c r="J70" s="66"/>
    </row>
    <row r="71" spans="1:10" s="64" customFormat="1" x14ac:dyDescent="0.25">
      <c r="A71" s="61"/>
      <c r="B71" s="61"/>
      <c r="C71" s="62"/>
      <c r="D71" s="63"/>
      <c r="E71" s="63"/>
      <c r="F71" s="63"/>
      <c r="H71" s="65"/>
      <c r="I71" s="66"/>
      <c r="J71" s="66"/>
    </row>
    <row r="72" spans="1:10" s="64" customFormat="1" x14ac:dyDescent="0.25">
      <c r="A72" s="61"/>
      <c r="B72" s="61"/>
      <c r="C72" s="62"/>
      <c r="D72" s="63"/>
      <c r="E72" s="63"/>
      <c r="F72" s="63"/>
      <c r="H72" s="65"/>
      <c r="I72" s="66"/>
      <c r="J72" s="66"/>
    </row>
    <row r="73" spans="1:10" s="64" customFormat="1" x14ac:dyDescent="0.25">
      <c r="A73" s="61"/>
      <c r="B73" s="61"/>
      <c r="C73" s="62"/>
      <c r="D73" s="63"/>
      <c r="E73" s="63"/>
      <c r="F73" s="63"/>
      <c r="H73" s="65"/>
      <c r="I73" s="66"/>
      <c r="J73" s="66"/>
    </row>
    <row r="74" spans="1:10" s="64" customFormat="1" x14ac:dyDescent="0.25">
      <c r="A74" s="61"/>
      <c r="B74" s="61"/>
      <c r="C74" s="62"/>
      <c r="D74" s="63"/>
      <c r="E74" s="63"/>
      <c r="F74" s="63"/>
      <c r="H74" s="65"/>
      <c r="I74" s="66"/>
      <c r="J74" s="66"/>
    </row>
    <row r="75" spans="1:10" s="64" customFormat="1" x14ac:dyDescent="0.25">
      <c r="A75" s="61"/>
      <c r="B75" s="61"/>
      <c r="C75" s="62"/>
      <c r="D75" s="63"/>
      <c r="E75" s="63"/>
      <c r="F75" s="63"/>
      <c r="H75" s="65"/>
      <c r="I75" s="66"/>
      <c r="J75" s="66"/>
    </row>
    <row r="76" spans="1:10" s="64" customFormat="1" x14ac:dyDescent="0.25">
      <c r="A76" s="61"/>
      <c r="B76" s="61"/>
      <c r="C76" s="62"/>
      <c r="D76" s="63"/>
      <c r="E76" s="63"/>
      <c r="F76" s="63"/>
      <c r="H76" s="65"/>
      <c r="I76" s="66"/>
      <c r="J76" s="66"/>
    </row>
    <row r="77" spans="1:10" s="64" customFormat="1" x14ac:dyDescent="0.25">
      <c r="A77" s="61"/>
      <c r="B77" s="61"/>
      <c r="C77" s="62"/>
      <c r="D77" s="63"/>
      <c r="E77" s="63"/>
      <c r="F77" s="63"/>
      <c r="H77" s="65"/>
      <c r="I77" s="66"/>
      <c r="J77" s="66"/>
    </row>
    <row r="78" spans="1:10" s="64" customFormat="1" x14ac:dyDescent="0.25">
      <c r="A78" s="61"/>
      <c r="B78" s="61"/>
      <c r="C78" s="62"/>
      <c r="D78" s="63"/>
      <c r="E78" s="63"/>
      <c r="F78" s="63"/>
      <c r="H78" s="65"/>
      <c r="I78" s="66"/>
      <c r="J78" s="66"/>
    </row>
  </sheetData>
  <mergeCells count="12">
    <mergeCell ref="C22:F22"/>
    <mergeCell ref="C17:F17"/>
    <mergeCell ref="C18:F18"/>
    <mergeCell ref="C19:F19"/>
    <mergeCell ref="C20:F20"/>
    <mergeCell ref="C21:F21"/>
    <mergeCell ref="C65:F65"/>
    <mergeCell ref="C23:F23"/>
    <mergeCell ref="C24:F24"/>
    <mergeCell ref="C25:F25"/>
    <mergeCell ref="C26:F26"/>
    <mergeCell ref="C27:F27"/>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topLeftCell="A10" zoomScaleNormal="100" zoomScaleSheetLayoutView="100" workbookViewId="0">
      <selection activeCell="C25" sqref="C25:F25"/>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18" x14ac:dyDescent="0.25">
      <c r="A1" s="115" t="s">
        <v>461</v>
      </c>
      <c r="B1" s="2"/>
      <c r="C1" s="2"/>
      <c r="D1" s="2"/>
      <c r="E1" s="2"/>
      <c r="F1" s="2"/>
      <c r="G1" s="2"/>
      <c r="H1" s="2"/>
      <c r="I1" s="2"/>
      <c r="J1" s="97"/>
    </row>
    <row r="2" spans="1:10" ht="18"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ht="15" x14ac:dyDescent="0.2">
      <c r="A5" s="5"/>
      <c r="B5" s="5"/>
      <c r="C5" s="6"/>
      <c r="D5" s="6"/>
      <c r="E5" s="6"/>
      <c r="F5" s="6"/>
      <c r="G5" s="6"/>
      <c r="H5" s="6"/>
      <c r="I5" s="6"/>
      <c r="J5" s="6"/>
    </row>
    <row r="6" spans="1:10" x14ac:dyDescent="0.2">
      <c r="A6" s="7" t="s">
        <v>0</v>
      </c>
      <c r="B6" s="7"/>
      <c r="C6" s="8" t="s">
        <v>34</v>
      </c>
      <c r="D6" s="9"/>
      <c r="E6" s="9"/>
      <c r="F6" s="9"/>
      <c r="G6" s="10" t="s">
        <v>1</v>
      </c>
      <c r="H6" s="8" t="s">
        <v>2</v>
      </c>
      <c r="I6" s="9"/>
      <c r="J6" s="9"/>
    </row>
    <row r="7" spans="1:10" x14ac:dyDescent="0.2">
      <c r="A7" s="7" t="s">
        <v>3</v>
      </c>
      <c r="B7" s="7"/>
      <c r="C7" s="8" t="s">
        <v>4</v>
      </c>
      <c r="D7" s="9"/>
      <c r="E7" s="9"/>
      <c r="F7" s="9"/>
      <c r="G7" s="10" t="s">
        <v>5</v>
      </c>
      <c r="H7" s="8" t="s">
        <v>6</v>
      </c>
      <c r="I7" s="9"/>
      <c r="J7" s="9"/>
    </row>
    <row r="8" spans="1:10" x14ac:dyDescent="0.2">
      <c r="A8" s="7" t="s">
        <v>7</v>
      </c>
      <c r="B8" s="7"/>
      <c r="C8" s="8" t="s">
        <v>36</v>
      </c>
      <c r="D8" s="9"/>
      <c r="E8" s="9"/>
      <c r="F8" s="9"/>
      <c r="G8" s="10" t="s">
        <v>8</v>
      </c>
      <c r="H8" s="8" t="s">
        <v>36</v>
      </c>
      <c r="I8" s="9"/>
      <c r="J8" s="9"/>
    </row>
    <row r="9" spans="1:10" x14ac:dyDescent="0.2">
      <c r="A9" s="11" t="s">
        <v>29</v>
      </c>
      <c r="B9" s="11"/>
      <c r="C9" s="12"/>
      <c r="D9" s="12"/>
      <c r="E9" s="12"/>
      <c r="F9" s="12"/>
      <c r="G9" s="12"/>
      <c r="H9" s="12"/>
      <c r="I9" s="12"/>
      <c r="J9" s="12"/>
    </row>
    <row r="10" spans="1:10" ht="12.75" x14ac:dyDescent="0.2">
      <c r="A10" s="13" t="s">
        <v>9</v>
      </c>
      <c r="B10" s="13"/>
      <c r="C10" s="14"/>
      <c r="D10" s="14"/>
      <c r="E10" s="14"/>
      <c r="F10" s="14"/>
      <c r="G10" s="14"/>
      <c r="H10" s="14"/>
      <c r="I10" s="14"/>
      <c r="J10" s="14"/>
    </row>
    <row r="11" spans="1:10" x14ac:dyDescent="0.2">
      <c r="A11" s="15" t="s">
        <v>10</v>
      </c>
      <c r="B11" s="15"/>
      <c r="C11" s="16" t="s">
        <v>465</v>
      </c>
    </row>
    <row r="12" spans="1:10" x14ac:dyDescent="0.2">
      <c r="A12" s="15" t="s">
        <v>11</v>
      </c>
      <c r="B12" s="15"/>
      <c r="C12" s="3" t="s">
        <v>12</v>
      </c>
      <c r="G12" s="15"/>
      <c r="I12" s="15" t="s">
        <v>13</v>
      </c>
    </row>
    <row r="13" spans="1:10" x14ac:dyDescent="0.2">
      <c r="A13" s="15" t="s">
        <v>14</v>
      </c>
      <c r="B13" s="15"/>
      <c r="C13" s="16" t="s">
        <v>35</v>
      </c>
      <c r="G13" s="15"/>
      <c r="I13" s="15" t="s">
        <v>15</v>
      </c>
    </row>
    <row r="14" spans="1:10" x14ac:dyDescent="0.2">
      <c r="A14" s="15" t="s">
        <v>16</v>
      </c>
      <c r="B14" s="15"/>
      <c r="C14" s="17">
        <f>J67</f>
        <v>44738.1489</v>
      </c>
      <c r="E14" s="15" t="s">
        <v>17</v>
      </c>
      <c r="F14" s="3" t="s">
        <v>18</v>
      </c>
      <c r="G14" s="15"/>
      <c r="I14" s="15"/>
      <c r="J14" s="18"/>
    </row>
    <row r="15" spans="1:10" x14ac:dyDescent="0.2">
      <c r="A15" s="19" t="s">
        <v>19</v>
      </c>
      <c r="B15" s="20"/>
      <c r="C15" s="21" t="s">
        <v>20</v>
      </c>
      <c r="D15" s="21"/>
      <c r="E15" s="21"/>
      <c r="F15" s="20"/>
      <c r="G15" s="22" t="s">
        <v>21</v>
      </c>
      <c r="H15" s="23" t="s">
        <v>22</v>
      </c>
      <c r="I15" s="23" t="s">
        <v>23</v>
      </c>
      <c r="J15" s="23" t="s">
        <v>24</v>
      </c>
    </row>
    <row r="16" spans="1:10" x14ac:dyDescent="0.2">
      <c r="A16" s="24" t="s">
        <v>25</v>
      </c>
      <c r="B16" s="25"/>
      <c r="C16" s="26"/>
      <c r="D16" s="26"/>
      <c r="E16" s="26"/>
      <c r="F16" s="26"/>
      <c r="G16" s="26"/>
      <c r="H16" s="27"/>
      <c r="I16" s="27"/>
      <c r="J16" s="28"/>
    </row>
    <row r="17" spans="1:10" s="29" customFormat="1" ht="128.25" customHeight="1" x14ac:dyDescent="0.25">
      <c r="A17" s="55" t="s">
        <v>28</v>
      </c>
      <c r="B17" s="56"/>
      <c r="C17" s="157" t="s">
        <v>78</v>
      </c>
      <c r="D17" s="158"/>
      <c r="E17" s="158"/>
      <c r="F17" s="158"/>
      <c r="G17" s="57" t="s">
        <v>46</v>
      </c>
      <c r="H17" s="58">
        <v>89.18</v>
      </c>
      <c r="I17" s="59">
        <v>24.32</v>
      </c>
      <c r="J17" s="60">
        <f>I17*H17</f>
        <v>2168.8576000000003</v>
      </c>
    </row>
    <row r="18" spans="1:10" s="29" customFormat="1" ht="128.25" customHeight="1" x14ac:dyDescent="0.25">
      <c r="A18" s="55" t="s">
        <v>30</v>
      </c>
      <c r="B18" s="56"/>
      <c r="C18" s="158" t="s">
        <v>101</v>
      </c>
      <c r="D18" s="158"/>
      <c r="E18" s="158"/>
      <c r="F18" s="158"/>
      <c r="G18" s="57" t="s">
        <v>46</v>
      </c>
      <c r="H18" s="58">
        <v>215.93</v>
      </c>
      <c r="I18" s="59">
        <v>32.26</v>
      </c>
      <c r="J18" s="60">
        <f t="shared" ref="J18:J20" si="0">I18*H18</f>
        <v>6965.9017999999996</v>
      </c>
    </row>
    <row r="19" spans="1:10" s="29" customFormat="1" ht="128.25" customHeight="1" x14ac:dyDescent="0.25">
      <c r="A19" s="55" t="s">
        <v>31</v>
      </c>
      <c r="B19" s="56"/>
      <c r="C19" s="158" t="s">
        <v>102</v>
      </c>
      <c r="D19" s="158"/>
      <c r="E19" s="158"/>
      <c r="F19" s="158"/>
      <c r="G19" s="57" t="s">
        <v>49</v>
      </c>
      <c r="H19" s="58">
        <v>0</v>
      </c>
      <c r="I19" s="59">
        <v>86.3</v>
      </c>
      <c r="J19" s="60">
        <f t="shared" si="0"/>
        <v>0</v>
      </c>
    </row>
    <row r="20" spans="1:10" s="29" customFormat="1" ht="128.25" customHeight="1" x14ac:dyDescent="0.25">
      <c r="A20" s="55" t="s">
        <v>32</v>
      </c>
      <c r="B20" s="56"/>
      <c r="C20" s="158" t="s">
        <v>103</v>
      </c>
      <c r="D20" s="158"/>
      <c r="E20" s="158"/>
      <c r="F20" s="158"/>
      <c r="G20" s="57" t="s">
        <v>49</v>
      </c>
      <c r="H20" s="58">
        <v>0</v>
      </c>
      <c r="I20" s="59">
        <v>98.15</v>
      </c>
      <c r="J20" s="60">
        <f t="shared" si="0"/>
        <v>0</v>
      </c>
    </row>
    <row r="21" spans="1:10" s="29" customFormat="1" ht="128.25" customHeight="1" x14ac:dyDescent="0.25">
      <c r="A21" s="55" t="s">
        <v>33</v>
      </c>
      <c r="B21" s="68"/>
      <c r="C21" s="158" t="s">
        <v>104</v>
      </c>
      <c r="D21" s="158"/>
      <c r="E21" s="158"/>
      <c r="F21" s="158"/>
      <c r="G21" s="57" t="s">
        <v>46</v>
      </c>
      <c r="H21" s="58">
        <f>H18</f>
        <v>215.93</v>
      </c>
      <c r="I21" s="67">
        <v>87.15</v>
      </c>
      <c r="J21" s="60">
        <f t="shared" ref="J21:J27" si="1">H21*I21</f>
        <v>18818.299500000001</v>
      </c>
    </row>
    <row r="22" spans="1:10" s="29" customFormat="1" ht="128.25" customHeight="1" x14ac:dyDescent="0.25">
      <c r="A22" s="55" t="s">
        <v>37</v>
      </c>
      <c r="B22" s="68"/>
      <c r="C22" s="158" t="s">
        <v>105</v>
      </c>
      <c r="D22" s="158"/>
      <c r="E22" s="158"/>
      <c r="F22" s="158"/>
      <c r="G22" s="57" t="s">
        <v>46</v>
      </c>
      <c r="H22" s="58">
        <f>H17</f>
        <v>89.18</v>
      </c>
      <c r="I22" s="67">
        <v>87.15</v>
      </c>
      <c r="J22" s="60">
        <f t="shared" si="1"/>
        <v>7772.0370000000012</v>
      </c>
    </row>
    <row r="23" spans="1:10" s="29" customFormat="1" ht="128.25" customHeight="1" x14ac:dyDescent="0.25">
      <c r="A23" s="55" t="s">
        <v>38</v>
      </c>
      <c r="B23" s="68"/>
      <c r="C23" s="158" t="s">
        <v>453</v>
      </c>
      <c r="D23" s="158"/>
      <c r="E23" s="158"/>
      <c r="F23" s="158"/>
      <c r="G23" s="57" t="s">
        <v>48</v>
      </c>
      <c r="H23" s="58">
        <v>103.42</v>
      </c>
      <c r="I23" s="67">
        <v>87.15</v>
      </c>
      <c r="J23" s="60">
        <f t="shared" si="1"/>
        <v>9013.0529999999999</v>
      </c>
    </row>
    <row r="24" spans="1:10" s="29" customFormat="1" ht="128.25" customHeight="1" x14ac:dyDescent="0.25">
      <c r="A24" s="55" t="s">
        <v>39</v>
      </c>
      <c r="B24" s="68"/>
      <c r="C24" s="158" t="s">
        <v>454</v>
      </c>
      <c r="D24" s="158"/>
      <c r="E24" s="158"/>
      <c r="F24" s="158"/>
      <c r="G24" s="57" t="s">
        <v>46</v>
      </c>
      <c r="H24" s="58">
        <v>0</v>
      </c>
      <c r="I24" s="67">
        <v>87.15</v>
      </c>
      <c r="J24" s="60">
        <f t="shared" si="1"/>
        <v>0</v>
      </c>
    </row>
    <row r="25" spans="1:10" s="29" customFormat="1" ht="128.25" customHeight="1" x14ac:dyDescent="0.25">
      <c r="A25" s="55" t="s">
        <v>40</v>
      </c>
      <c r="B25" s="68"/>
      <c r="C25" s="158" t="s">
        <v>138</v>
      </c>
      <c r="D25" s="158"/>
      <c r="E25" s="158"/>
      <c r="F25" s="158"/>
      <c r="G25" s="57" t="s">
        <v>49</v>
      </c>
      <c r="H25" s="58">
        <v>0</v>
      </c>
      <c r="I25" s="67">
        <v>535</v>
      </c>
      <c r="J25" s="60">
        <f t="shared" si="1"/>
        <v>0</v>
      </c>
    </row>
    <row r="26" spans="1:10" s="29" customFormat="1" ht="128.25" customHeight="1" x14ac:dyDescent="0.25">
      <c r="A26" s="55" t="s">
        <v>42</v>
      </c>
      <c r="B26" s="68"/>
      <c r="C26" s="158" t="s">
        <v>452</v>
      </c>
      <c r="D26" s="158"/>
      <c r="E26" s="158"/>
      <c r="F26" s="158"/>
      <c r="G26" s="57" t="s">
        <v>49</v>
      </c>
      <c r="H26" s="58">
        <v>0</v>
      </c>
      <c r="I26" s="67">
        <v>326</v>
      </c>
      <c r="J26" s="60">
        <f t="shared" si="1"/>
        <v>0</v>
      </c>
    </row>
    <row r="27" spans="1:10" s="29" customFormat="1" ht="128.25" customHeight="1" x14ac:dyDescent="0.25">
      <c r="A27" s="55" t="s">
        <v>43</v>
      </c>
      <c r="B27" s="68"/>
      <c r="C27" s="158" t="s">
        <v>451</v>
      </c>
      <c r="D27" s="158"/>
      <c r="E27" s="158"/>
      <c r="F27" s="158"/>
      <c r="G27" s="57" t="s">
        <v>49</v>
      </c>
      <c r="H27" s="58">
        <v>0</v>
      </c>
      <c r="I27" s="67">
        <v>326</v>
      </c>
      <c r="J27" s="60">
        <f t="shared" si="1"/>
        <v>0</v>
      </c>
    </row>
    <row r="28" spans="1:10" s="29" customFormat="1" ht="12.75" x14ac:dyDescent="0.25">
      <c r="A28" s="55"/>
      <c r="B28" s="68"/>
      <c r="C28" s="134"/>
      <c r="D28" s="135"/>
      <c r="E28" s="135"/>
      <c r="F28" s="136"/>
      <c r="G28" s="57"/>
      <c r="H28" s="58"/>
      <c r="I28" s="67"/>
      <c r="J28" s="60"/>
    </row>
    <row r="29" spans="1:10" s="29" customFormat="1" ht="12.75" x14ac:dyDescent="0.25">
      <c r="A29" s="55"/>
      <c r="B29" s="68"/>
      <c r="C29" s="134"/>
      <c r="D29" s="135"/>
      <c r="E29" s="135"/>
      <c r="F29" s="136"/>
      <c r="G29" s="57"/>
      <c r="H29" s="58"/>
      <c r="I29" s="67"/>
      <c r="J29" s="60"/>
    </row>
    <row r="30" spans="1:10" s="29" customFormat="1" ht="12.75" x14ac:dyDescent="0.25">
      <c r="A30" s="55"/>
      <c r="B30" s="68"/>
      <c r="C30" s="134"/>
      <c r="D30" s="135"/>
      <c r="E30" s="135"/>
      <c r="F30" s="136"/>
      <c r="G30" s="57"/>
      <c r="H30" s="58"/>
      <c r="I30" s="67"/>
      <c r="J30" s="60"/>
    </row>
    <row r="31" spans="1:10" s="29" customFormat="1" ht="12.75" x14ac:dyDescent="0.25">
      <c r="A31" s="55"/>
      <c r="B31" s="68"/>
      <c r="C31" s="134"/>
      <c r="D31" s="135"/>
      <c r="E31" s="135"/>
      <c r="F31" s="136"/>
      <c r="G31" s="57"/>
      <c r="H31" s="58"/>
      <c r="I31" s="67"/>
      <c r="J31" s="60"/>
    </row>
    <row r="32" spans="1:10" s="29" customFormat="1" ht="12.75" x14ac:dyDescent="0.25">
      <c r="A32" s="55"/>
      <c r="B32" s="68"/>
      <c r="C32" s="134"/>
      <c r="D32" s="135"/>
      <c r="E32" s="135"/>
      <c r="F32" s="136"/>
      <c r="G32" s="57"/>
      <c r="H32" s="58"/>
      <c r="I32" s="67"/>
      <c r="J32" s="60"/>
    </row>
    <row r="33" spans="1:10" s="29" customFormat="1" ht="12.75" x14ac:dyDescent="0.25">
      <c r="A33" s="55"/>
      <c r="B33" s="68"/>
      <c r="C33" s="134"/>
      <c r="D33" s="135"/>
      <c r="E33" s="135"/>
      <c r="F33" s="136"/>
      <c r="G33" s="57"/>
      <c r="H33" s="58"/>
      <c r="I33" s="67"/>
      <c r="J33" s="60"/>
    </row>
    <row r="34" spans="1:10" s="29" customFormat="1" ht="12.75" x14ac:dyDescent="0.25">
      <c r="A34" s="55"/>
      <c r="B34" s="68"/>
      <c r="C34" s="134"/>
      <c r="D34" s="135"/>
      <c r="E34" s="135"/>
      <c r="F34" s="136"/>
      <c r="G34" s="57"/>
      <c r="H34" s="58"/>
      <c r="I34" s="67"/>
      <c r="J34" s="60"/>
    </row>
    <row r="35" spans="1:10" s="29" customFormat="1" ht="12.75" x14ac:dyDescent="0.25">
      <c r="A35" s="55"/>
      <c r="B35" s="68"/>
      <c r="C35" s="134"/>
      <c r="D35" s="135"/>
      <c r="E35" s="135"/>
      <c r="F35" s="136"/>
      <c r="G35" s="57"/>
      <c r="H35" s="58"/>
      <c r="I35" s="67"/>
      <c r="J35" s="60"/>
    </row>
    <row r="36" spans="1:10" s="29" customFormat="1" ht="12.75" x14ac:dyDescent="0.25">
      <c r="A36" s="55"/>
      <c r="B36" s="68"/>
      <c r="C36" s="134"/>
      <c r="D36" s="135"/>
      <c r="E36" s="135"/>
      <c r="F36" s="136"/>
      <c r="G36" s="57"/>
      <c r="H36" s="58"/>
      <c r="I36" s="67"/>
      <c r="J36" s="60"/>
    </row>
    <row r="37" spans="1:10" s="29" customFormat="1" ht="12.75" x14ac:dyDescent="0.25">
      <c r="A37" s="55"/>
      <c r="B37" s="68"/>
      <c r="C37" s="134"/>
      <c r="D37" s="135"/>
      <c r="E37" s="135"/>
      <c r="F37" s="136"/>
      <c r="G37" s="57"/>
      <c r="H37" s="58"/>
      <c r="I37" s="67"/>
      <c r="J37" s="60"/>
    </row>
    <row r="38" spans="1:10" s="29" customFormat="1" ht="12.75" x14ac:dyDescent="0.25">
      <c r="A38" s="55"/>
      <c r="B38" s="68"/>
      <c r="C38" s="134"/>
      <c r="D38" s="135"/>
      <c r="E38" s="135"/>
      <c r="F38" s="136"/>
      <c r="G38" s="57"/>
      <c r="H38" s="58"/>
      <c r="I38" s="67"/>
      <c r="J38" s="60"/>
    </row>
    <row r="39" spans="1:10" s="29" customFormat="1" ht="12.75" x14ac:dyDescent="0.25">
      <c r="A39" s="55"/>
      <c r="B39" s="68"/>
      <c r="C39" s="134"/>
      <c r="D39" s="135"/>
      <c r="E39" s="135"/>
      <c r="F39" s="136"/>
      <c r="G39" s="57"/>
      <c r="H39" s="58"/>
      <c r="I39" s="67"/>
      <c r="J39" s="60"/>
    </row>
    <row r="40" spans="1:10" s="29" customFormat="1" x14ac:dyDescent="0.25">
      <c r="A40" s="55"/>
      <c r="B40" s="56"/>
      <c r="C40" s="139"/>
      <c r="D40" s="135"/>
      <c r="E40" s="135"/>
      <c r="F40" s="136"/>
      <c r="G40" s="57"/>
      <c r="H40" s="58"/>
      <c r="I40" s="59"/>
      <c r="J40" s="60"/>
    </row>
    <row r="41" spans="1:10" s="29" customFormat="1" x14ac:dyDescent="0.25">
      <c r="A41" s="55"/>
      <c r="B41" s="56"/>
      <c r="C41" s="139"/>
      <c r="D41" s="135"/>
      <c r="E41" s="135"/>
      <c r="F41" s="136"/>
      <c r="G41" s="57"/>
      <c r="H41" s="58"/>
      <c r="I41" s="59"/>
      <c r="J41" s="60"/>
    </row>
    <row r="42" spans="1:10" s="29" customFormat="1" x14ac:dyDescent="0.25">
      <c r="A42" s="55"/>
      <c r="B42" s="56"/>
      <c r="C42" s="139"/>
      <c r="D42" s="135"/>
      <c r="E42" s="135"/>
      <c r="F42" s="136"/>
      <c r="G42" s="57"/>
      <c r="H42" s="58"/>
      <c r="I42" s="59"/>
      <c r="J42" s="60"/>
    </row>
    <row r="43" spans="1:10" s="29" customFormat="1" x14ac:dyDescent="0.25">
      <c r="A43" s="55"/>
      <c r="B43" s="56"/>
      <c r="C43" s="139"/>
      <c r="D43" s="135"/>
      <c r="E43" s="135"/>
      <c r="F43" s="136"/>
      <c r="G43" s="57"/>
      <c r="H43" s="58"/>
      <c r="I43" s="59"/>
      <c r="J43" s="60"/>
    </row>
    <row r="44" spans="1:10" s="29" customFormat="1" x14ac:dyDescent="0.25">
      <c r="A44" s="55"/>
      <c r="B44" s="56"/>
      <c r="C44" s="139"/>
      <c r="D44" s="135"/>
      <c r="E44" s="135"/>
      <c r="F44" s="136"/>
      <c r="G44" s="57"/>
      <c r="H44" s="58"/>
      <c r="I44" s="59"/>
      <c r="J44" s="60"/>
    </row>
    <row r="45" spans="1:10" s="29" customFormat="1" x14ac:dyDescent="0.25">
      <c r="A45" s="55"/>
      <c r="B45" s="56"/>
      <c r="C45" s="139"/>
      <c r="D45" s="135"/>
      <c r="E45" s="135"/>
      <c r="F45" s="136"/>
      <c r="G45" s="57"/>
      <c r="H45" s="58"/>
      <c r="I45" s="59"/>
      <c r="J45" s="60"/>
    </row>
    <row r="46" spans="1:10" s="29" customFormat="1" x14ac:dyDescent="0.25">
      <c r="A46" s="55"/>
      <c r="B46" s="56"/>
      <c r="C46" s="139"/>
      <c r="D46" s="135"/>
      <c r="E46" s="135"/>
      <c r="F46" s="136"/>
      <c r="G46" s="57"/>
      <c r="H46" s="58"/>
      <c r="I46" s="59"/>
      <c r="J46" s="60"/>
    </row>
    <row r="47" spans="1:10" s="29" customFormat="1" x14ac:dyDescent="0.25">
      <c r="A47" s="55"/>
      <c r="B47" s="56"/>
      <c r="C47" s="139"/>
      <c r="D47" s="135"/>
      <c r="E47" s="135"/>
      <c r="F47" s="136"/>
      <c r="G47" s="57"/>
      <c r="H47" s="58"/>
      <c r="I47" s="59"/>
      <c r="J47" s="60"/>
    </row>
    <row r="48" spans="1:10" s="29" customFormat="1" x14ac:dyDescent="0.25">
      <c r="A48" s="55"/>
      <c r="B48" s="56"/>
      <c r="C48" s="139"/>
      <c r="D48" s="135"/>
      <c r="E48" s="135"/>
      <c r="F48" s="136"/>
      <c r="G48" s="57"/>
      <c r="H48" s="58"/>
      <c r="I48" s="59"/>
      <c r="J48" s="60"/>
    </row>
    <row r="49" spans="1:10" s="29" customFormat="1" x14ac:dyDescent="0.25">
      <c r="A49" s="55"/>
      <c r="B49" s="56"/>
      <c r="C49" s="139"/>
      <c r="D49" s="135"/>
      <c r="E49" s="135"/>
      <c r="F49" s="136"/>
      <c r="G49" s="57"/>
      <c r="H49" s="58"/>
      <c r="I49" s="59"/>
      <c r="J49" s="60"/>
    </row>
    <row r="50" spans="1:10" s="29" customFormat="1" x14ac:dyDescent="0.25">
      <c r="A50" s="55"/>
      <c r="B50" s="56"/>
      <c r="C50" s="139"/>
      <c r="D50" s="135"/>
      <c r="E50" s="135"/>
      <c r="F50" s="136"/>
      <c r="G50" s="57"/>
      <c r="H50" s="58"/>
      <c r="I50" s="59"/>
      <c r="J50" s="60"/>
    </row>
    <row r="51" spans="1:10" s="29" customFormat="1" x14ac:dyDescent="0.25">
      <c r="A51" s="55"/>
      <c r="B51" s="56"/>
      <c r="C51" s="139"/>
      <c r="D51" s="135"/>
      <c r="E51" s="135"/>
      <c r="F51" s="136"/>
      <c r="G51" s="57"/>
      <c r="H51" s="58"/>
      <c r="I51" s="59"/>
      <c r="J51" s="60"/>
    </row>
    <row r="52" spans="1:10" s="29" customFormat="1" x14ac:dyDescent="0.25">
      <c r="A52" s="55"/>
      <c r="B52" s="56"/>
      <c r="C52" s="139"/>
      <c r="D52" s="135"/>
      <c r="E52" s="135"/>
      <c r="F52" s="136"/>
      <c r="G52" s="57"/>
      <c r="H52" s="58"/>
      <c r="I52" s="59"/>
      <c r="J52" s="60"/>
    </row>
    <row r="53" spans="1:10" s="29" customFormat="1" x14ac:dyDescent="0.25">
      <c r="A53" s="55"/>
      <c r="B53" s="56"/>
      <c r="C53" s="139"/>
      <c r="D53" s="135"/>
      <c r="E53" s="135"/>
      <c r="F53" s="136"/>
      <c r="G53" s="57"/>
      <c r="H53" s="58"/>
      <c r="I53" s="59"/>
      <c r="J53" s="60"/>
    </row>
    <row r="54" spans="1:10" s="29" customFormat="1" x14ac:dyDescent="0.25">
      <c r="A54" s="55"/>
      <c r="B54" s="56"/>
      <c r="C54" s="139"/>
      <c r="D54" s="135"/>
      <c r="E54" s="135"/>
      <c r="F54" s="136"/>
      <c r="G54" s="57"/>
      <c r="H54" s="58"/>
      <c r="I54" s="59"/>
      <c r="J54" s="60"/>
    </row>
    <row r="55" spans="1:10" s="29" customFormat="1" x14ac:dyDescent="0.25">
      <c r="A55" s="55"/>
      <c r="B55" s="56"/>
      <c r="C55" s="139"/>
      <c r="D55" s="135"/>
      <c r="E55" s="135"/>
      <c r="F55" s="136"/>
      <c r="G55" s="57"/>
      <c r="H55" s="58"/>
      <c r="I55" s="59"/>
      <c r="J55" s="60"/>
    </row>
    <row r="56" spans="1:10" s="29" customFormat="1" x14ac:dyDescent="0.25">
      <c r="A56" s="55"/>
      <c r="B56" s="56"/>
      <c r="C56" s="139"/>
      <c r="D56" s="135"/>
      <c r="E56" s="135"/>
      <c r="F56" s="136"/>
      <c r="G56" s="57"/>
      <c r="H56" s="58"/>
      <c r="I56" s="59"/>
      <c r="J56" s="60"/>
    </row>
    <row r="57" spans="1:10" s="29" customFormat="1" x14ac:dyDescent="0.25">
      <c r="A57" s="55"/>
      <c r="B57" s="56"/>
      <c r="C57" s="139"/>
      <c r="D57" s="135"/>
      <c r="E57" s="135"/>
      <c r="F57" s="136"/>
      <c r="G57" s="57"/>
      <c r="H57" s="58"/>
      <c r="I57" s="59"/>
      <c r="J57" s="60"/>
    </row>
    <row r="58" spans="1:10" s="29" customFormat="1" x14ac:dyDescent="0.25">
      <c r="A58" s="55"/>
      <c r="B58" s="56"/>
      <c r="C58" s="139"/>
      <c r="D58" s="135"/>
      <c r="E58" s="135"/>
      <c r="F58" s="136"/>
      <c r="G58" s="57"/>
      <c r="H58" s="58"/>
      <c r="I58" s="59"/>
      <c r="J58" s="60"/>
    </row>
    <row r="59" spans="1:10" s="29" customFormat="1" x14ac:dyDescent="0.25">
      <c r="A59" s="55"/>
      <c r="B59" s="56"/>
      <c r="C59" s="139"/>
      <c r="D59" s="135"/>
      <c r="E59" s="135"/>
      <c r="F59" s="136"/>
      <c r="G59" s="57"/>
      <c r="H59" s="58"/>
      <c r="I59" s="59"/>
      <c r="J59" s="60"/>
    </row>
    <row r="60" spans="1:10" s="29" customFormat="1" x14ac:dyDescent="0.25">
      <c r="A60" s="55"/>
      <c r="B60" s="56"/>
      <c r="C60" s="139"/>
      <c r="D60" s="135"/>
      <c r="E60" s="135"/>
      <c r="F60" s="136"/>
      <c r="G60" s="57"/>
      <c r="H60" s="58"/>
      <c r="I60" s="59"/>
      <c r="J60" s="60"/>
    </row>
    <row r="61" spans="1:10" s="29" customFormat="1" x14ac:dyDescent="0.25">
      <c r="A61" s="55"/>
      <c r="B61" s="56"/>
      <c r="C61" s="139"/>
      <c r="D61" s="135"/>
      <c r="E61" s="135"/>
      <c r="F61" s="136"/>
      <c r="G61" s="57"/>
      <c r="H61" s="58"/>
      <c r="I61" s="59"/>
      <c r="J61" s="60"/>
    </row>
    <row r="62" spans="1:10" s="29" customFormat="1" x14ac:dyDescent="0.25">
      <c r="A62" s="55"/>
      <c r="B62" s="56"/>
      <c r="C62" s="139"/>
      <c r="D62" s="135"/>
      <c r="E62" s="135"/>
      <c r="F62" s="136"/>
      <c r="G62" s="57"/>
      <c r="H62" s="58"/>
      <c r="I62" s="59"/>
      <c r="J62" s="60"/>
    </row>
    <row r="63" spans="1:10" s="29" customFormat="1" x14ac:dyDescent="0.25">
      <c r="A63" s="30"/>
      <c r="B63" s="31"/>
      <c r="C63" s="69"/>
      <c r="D63" s="70"/>
      <c r="E63" s="70"/>
      <c r="F63" s="71"/>
      <c r="G63" s="32"/>
      <c r="H63" s="33"/>
      <c r="I63" s="34"/>
      <c r="J63" s="35"/>
    </row>
    <row r="64" spans="1:10" s="29" customFormat="1" x14ac:dyDescent="0.25">
      <c r="A64" s="30"/>
      <c r="B64" s="31"/>
      <c r="C64" s="139"/>
      <c r="D64" s="135"/>
      <c r="E64" s="135"/>
      <c r="F64" s="136"/>
      <c r="G64" s="32"/>
      <c r="H64" s="33"/>
      <c r="I64" s="34"/>
      <c r="J64" s="35"/>
    </row>
    <row r="65" spans="1:10" s="29" customFormat="1" ht="12" thickBot="1" x14ac:dyDescent="0.3">
      <c r="A65" s="30"/>
      <c r="B65" s="31"/>
      <c r="C65" s="162"/>
      <c r="D65" s="162"/>
      <c r="E65" s="162"/>
      <c r="F65" s="162"/>
      <c r="G65" s="32"/>
      <c r="H65" s="33"/>
      <c r="I65" s="34" t="s">
        <v>26</v>
      </c>
      <c r="J65" s="35">
        <f>SUM(J17:J64)</f>
        <v>44738.1489</v>
      </c>
    </row>
    <row r="66" spans="1:10" x14ac:dyDescent="0.2">
      <c r="A66" s="39"/>
      <c r="B66" s="40"/>
      <c r="C66" s="40"/>
      <c r="D66" s="40"/>
      <c r="E66" s="40"/>
      <c r="F66" s="41"/>
      <c r="G66" s="48"/>
      <c r="H66" s="49"/>
      <c r="I66" s="50"/>
      <c r="J66" s="36"/>
    </row>
    <row r="67" spans="1:10" x14ac:dyDescent="0.2">
      <c r="A67" s="42" t="s">
        <v>27</v>
      </c>
      <c r="B67" s="21"/>
      <c r="C67" s="43"/>
      <c r="D67" s="43"/>
      <c r="E67" s="43"/>
      <c r="F67" s="44"/>
      <c r="G67" s="51"/>
      <c r="H67" s="52"/>
      <c r="I67" s="53"/>
      <c r="J67" s="37">
        <f>J65</f>
        <v>44738.1489</v>
      </c>
    </row>
    <row r="68" spans="1:10" ht="12" thickBot="1" x14ac:dyDescent="0.25">
      <c r="A68" s="45"/>
      <c r="B68" s="46"/>
      <c r="C68" s="46"/>
      <c r="D68" s="46"/>
      <c r="E68" s="46"/>
      <c r="F68" s="47"/>
      <c r="G68" s="54"/>
      <c r="H68" s="46"/>
      <c r="I68" s="47"/>
      <c r="J68" s="38"/>
    </row>
    <row r="69" spans="1:10" s="64" customFormat="1" x14ac:dyDescent="0.25">
      <c r="A69" s="61" t="s">
        <v>66</v>
      </c>
      <c r="B69" s="61" t="s">
        <v>67</v>
      </c>
      <c r="C69" s="62"/>
      <c r="D69" s="63"/>
      <c r="E69" s="63"/>
      <c r="F69" s="63"/>
      <c r="H69" s="65"/>
      <c r="I69" s="66"/>
      <c r="J69" s="66"/>
    </row>
    <row r="70" spans="1:10" s="64" customFormat="1" x14ac:dyDescent="0.25">
      <c r="A70" s="61"/>
      <c r="B70" s="61"/>
      <c r="C70" s="62"/>
      <c r="D70" s="63"/>
      <c r="E70" s="63"/>
      <c r="F70" s="63"/>
      <c r="H70" s="65"/>
      <c r="I70" s="66"/>
      <c r="J70" s="66"/>
    </row>
    <row r="71" spans="1:10" s="64" customFormat="1" x14ac:dyDescent="0.25">
      <c r="A71" s="61"/>
      <c r="B71" s="61"/>
      <c r="C71" s="62"/>
      <c r="D71" s="63"/>
      <c r="E71" s="63"/>
      <c r="F71" s="63"/>
      <c r="H71" s="65"/>
      <c r="I71" s="66"/>
      <c r="J71" s="66"/>
    </row>
    <row r="72" spans="1:10" s="64" customFormat="1" x14ac:dyDescent="0.25">
      <c r="A72" s="61"/>
      <c r="B72" s="61"/>
      <c r="C72" s="62"/>
      <c r="D72" s="63"/>
      <c r="E72" s="63"/>
      <c r="F72" s="63"/>
      <c r="H72" s="65"/>
      <c r="I72" s="66"/>
      <c r="J72" s="66"/>
    </row>
    <row r="73" spans="1:10" s="64" customFormat="1" x14ac:dyDescent="0.25">
      <c r="A73" s="61"/>
      <c r="B73" s="61"/>
      <c r="C73" s="62"/>
      <c r="D73" s="63"/>
      <c r="E73" s="63"/>
      <c r="F73" s="63"/>
      <c r="H73" s="65"/>
      <c r="I73" s="66"/>
      <c r="J73" s="66"/>
    </row>
    <row r="74" spans="1:10" s="64" customFormat="1" x14ac:dyDescent="0.25">
      <c r="A74" s="61"/>
      <c r="B74" s="61"/>
      <c r="C74" s="62"/>
      <c r="D74" s="63"/>
      <c r="E74" s="63"/>
      <c r="F74" s="63"/>
      <c r="H74" s="65"/>
      <c r="I74" s="66"/>
      <c r="J74" s="66"/>
    </row>
    <row r="75" spans="1:10" s="64" customFormat="1" x14ac:dyDescent="0.25">
      <c r="A75" s="61"/>
      <c r="B75" s="61"/>
      <c r="C75" s="62"/>
      <c r="D75" s="63"/>
      <c r="E75" s="63"/>
      <c r="F75" s="63"/>
      <c r="H75" s="65"/>
      <c r="I75" s="66"/>
      <c r="J75" s="66"/>
    </row>
    <row r="76" spans="1:10" s="64" customFormat="1" x14ac:dyDescent="0.25">
      <c r="A76" s="61"/>
      <c r="B76" s="61"/>
      <c r="C76" s="62"/>
      <c r="D76" s="63"/>
      <c r="E76" s="63"/>
      <c r="F76" s="63"/>
      <c r="H76" s="65"/>
      <c r="I76" s="66"/>
      <c r="J76" s="66"/>
    </row>
    <row r="77" spans="1:10" s="64" customFormat="1" x14ac:dyDescent="0.25">
      <c r="A77" s="61"/>
      <c r="B77" s="61"/>
      <c r="C77" s="62"/>
      <c r="D77" s="63"/>
      <c r="E77" s="63"/>
      <c r="F77" s="63"/>
      <c r="H77" s="65"/>
      <c r="I77" s="66"/>
      <c r="J77" s="66"/>
    </row>
    <row r="78" spans="1:10" s="64" customFormat="1" x14ac:dyDescent="0.25">
      <c r="A78" s="61"/>
      <c r="B78" s="61"/>
      <c r="C78" s="62"/>
      <c r="D78" s="63"/>
      <c r="E78" s="63"/>
      <c r="F78" s="63"/>
      <c r="H78" s="65"/>
      <c r="I78" s="66"/>
      <c r="J78" s="66"/>
    </row>
  </sheetData>
  <mergeCells count="12">
    <mergeCell ref="C65:F65"/>
    <mergeCell ref="C17:F17"/>
    <mergeCell ref="C18:F18"/>
    <mergeCell ref="C19:F19"/>
    <mergeCell ref="C20:F20"/>
    <mergeCell ref="C21:F21"/>
    <mergeCell ref="C22:F22"/>
    <mergeCell ref="C23:F23"/>
    <mergeCell ref="C24:F24"/>
    <mergeCell ref="C25:F25"/>
    <mergeCell ref="C26:F26"/>
    <mergeCell ref="C27:F27"/>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topLeftCell="A45" zoomScaleNormal="100" zoomScaleSheetLayoutView="100" workbookViewId="0">
      <selection activeCell="A18" sqref="A18:I18"/>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21" customHeight="1" x14ac:dyDescent="0.25">
      <c r="A1" s="115" t="s">
        <v>461</v>
      </c>
      <c r="B1" s="2"/>
      <c r="C1" s="2"/>
      <c r="D1" s="2"/>
      <c r="E1" s="2"/>
      <c r="F1" s="2"/>
      <c r="G1" s="2"/>
      <c r="H1" s="2"/>
      <c r="I1" s="2"/>
      <c r="J1" s="97"/>
    </row>
    <row r="2" spans="1:10" ht="4.5" customHeight="1"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x14ac:dyDescent="0.2">
      <c r="A5" s="7" t="s">
        <v>0</v>
      </c>
      <c r="B5" s="7"/>
      <c r="C5" s="8" t="s">
        <v>34</v>
      </c>
      <c r="D5" s="9"/>
      <c r="E5" s="9"/>
      <c r="F5" s="9"/>
      <c r="G5" s="10" t="s">
        <v>1</v>
      </c>
      <c r="H5" s="8" t="s">
        <v>2</v>
      </c>
      <c r="I5" s="9"/>
      <c r="J5" s="9"/>
    </row>
    <row r="6" spans="1:10" x14ac:dyDescent="0.2">
      <c r="A6" s="7" t="s">
        <v>3</v>
      </c>
      <c r="B6" s="7"/>
      <c r="C6" s="8" t="s">
        <v>4</v>
      </c>
      <c r="D6" s="9"/>
      <c r="E6" s="9"/>
      <c r="F6" s="9"/>
      <c r="G6" s="10" t="s">
        <v>5</v>
      </c>
      <c r="H6" s="8" t="s">
        <v>6</v>
      </c>
      <c r="I6" s="9"/>
      <c r="J6" s="9"/>
    </row>
    <row r="7" spans="1:10" x14ac:dyDescent="0.2">
      <c r="A7" s="7" t="s">
        <v>7</v>
      </c>
      <c r="B7" s="7"/>
      <c r="C7" s="8" t="s">
        <v>36</v>
      </c>
      <c r="D7" s="9"/>
      <c r="E7" s="9"/>
      <c r="F7" s="9"/>
      <c r="G7" s="10" t="s">
        <v>8</v>
      </c>
      <c r="H7" s="8" t="s">
        <v>36</v>
      </c>
      <c r="I7" s="9"/>
      <c r="J7" s="9"/>
    </row>
    <row r="8" spans="1:10" x14ac:dyDescent="0.2">
      <c r="A8" s="11" t="s">
        <v>29</v>
      </c>
      <c r="B8" s="11"/>
      <c r="C8" s="12"/>
      <c r="D8" s="12"/>
      <c r="E8" s="12"/>
      <c r="F8" s="12"/>
      <c r="G8" s="12"/>
      <c r="H8" s="12"/>
      <c r="I8" s="12"/>
      <c r="J8" s="12"/>
    </row>
    <row r="9" spans="1:10" ht="15" customHeight="1" x14ac:dyDescent="0.2">
      <c r="A9" s="13" t="s">
        <v>9</v>
      </c>
      <c r="B9" s="13"/>
      <c r="C9" s="14"/>
      <c r="D9" s="14"/>
      <c r="E9" s="14"/>
      <c r="F9" s="14"/>
      <c r="G9" s="14"/>
      <c r="H9" s="14"/>
      <c r="I9" s="14"/>
      <c r="J9" s="14"/>
    </row>
    <row r="10" spans="1:10" ht="12" customHeight="1" x14ac:dyDescent="0.2">
      <c r="A10" s="15" t="s">
        <v>10</v>
      </c>
      <c r="B10" s="15"/>
      <c r="C10" s="16" t="s">
        <v>367</v>
      </c>
    </row>
    <row r="11" spans="1:10" ht="10.15" customHeight="1" x14ac:dyDescent="0.2">
      <c r="A11" s="15" t="s">
        <v>11</v>
      </c>
      <c r="B11" s="15"/>
      <c r="C11" s="3" t="s">
        <v>12</v>
      </c>
      <c r="G11" s="15"/>
      <c r="I11" s="15" t="s">
        <v>13</v>
      </c>
    </row>
    <row r="12" spans="1:10" ht="10.15" customHeight="1" x14ac:dyDescent="0.2">
      <c r="A12" s="15" t="s">
        <v>14</v>
      </c>
      <c r="B12" s="15"/>
      <c r="C12" s="16" t="s">
        <v>35</v>
      </c>
      <c r="G12" s="15"/>
      <c r="I12" s="15" t="s">
        <v>15</v>
      </c>
    </row>
    <row r="13" spans="1:10" ht="10.15" customHeight="1" x14ac:dyDescent="0.2">
      <c r="A13" s="15" t="s">
        <v>16</v>
      </c>
      <c r="B13" s="15"/>
      <c r="C13" s="17">
        <f>J51</f>
        <v>521582.91617032123</v>
      </c>
      <c r="E13" s="15" t="s">
        <v>17</v>
      </c>
      <c r="F13" s="3" t="s">
        <v>18</v>
      </c>
      <c r="G13" s="15"/>
      <c r="I13" s="15"/>
      <c r="J13" s="18"/>
    </row>
    <row r="14" spans="1:10" x14ac:dyDescent="0.2">
      <c r="A14" s="19" t="s">
        <v>19</v>
      </c>
      <c r="B14" s="20"/>
      <c r="C14" s="21" t="s">
        <v>20</v>
      </c>
      <c r="D14" s="21"/>
      <c r="E14" s="21"/>
      <c r="F14" s="20"/>
      <c r="G14" s="22" t="s">
        <v>21</v>
      </c>
      <c r="H14" s="23" t="s">
        <v>22</v>
      </c>
      <c r="I14" s="23" t="s">
        <v>23</v>
      </c>
      <c r="J14" s="23" t="s">
        <v>24</v>
      </c>
    </row>
    <row r="15" spans="1:10" x14ac:dyDescent="0.2">
      <c r="A15" s="24" t="s">
        <v>25</v>
      </c>
      <c r="B15" s="25"/>
      <c r="C15" s="26"/>
      <c r="D15" s="26"/>
      <c r="E15" s="26"/>
      <c r="F15" s="26"/>
      <c r="G15" s="26"/>
      <c r="H15" s="27"/>
      <c r="I15" s="27"/>
      <c r="J15" s="28"/>
    </row>
    <row r="16" spans="1:10" s="29" customFormat="1" ht="114" customHeight="1" x14ac:dyDescent="0.25">
      <c r="A16" s="76" t="s">
        <v>28</v>
      </c>
      <c r="B16" s="31"/>
      <c r="C16" s="171" t="s">
        <v>339</v>
      </c>
      <c r="D16" s="162"/>
      <c r="E16" s="162"/>
      <c r="F16" s="162"/>
      <c r="G16" s="32" t="s">
        <v>46</v>
      </c>
      <c r="H16" s="33">
        <v>261.77999999999997</v>
      </c>
      <c r="I16" s="34">
        <v>24.32</v>
      </c>
      <c r="J16" s="35">
        <f>I16*H16</f>
        <v>6366.489599999999</v>
      </c>
    </row>
    <row r="17" spans="1:10" s="29" customFormat="1" ht="104.25" customHeight="1" x14ac:dyDescent="0.25">
      <c r="A17" s="76" t="s">
        <v>30</v>
      </c>
      <c r="B17" s="31"/>
      <c r="C17" s="158" t="s">
        <v>340</v>
      </c>
      <c r="D17" s="158"/>
      <c r="E17" s="158"/>
      <c r="F17" s="158"/>
      <c r="G17" s="32" t="s">
        <v>48</v>
      </c>
      <c r="H17" s="33">
        <v>46.07</v>
      </c>
      <c r="I17" s="34">
        <v>65</v>
      </c>
      <c r="J17" s="35">
        <f>I17*H17</f>
        <v>2994.55</v>
      </c>
    </row>
    <row r="18" spans="1:10" s="29" customFormat="1" ht="101.25" customHeight="1" x14ac:dyDescent="0.25">
      <c r="A18" s="76" t="s">
        <v>31</v>
      </c>
      <c r="B18" s="31"/>
      <c r="C18" s="158" t="s">
        <v>341</v>
      </c>
      <c r="D18" s="158"/>
      <c r="E18" s="158"/>
      <c r="F18" s="158"/>
      <c r="G18" s="32" t="s">
        <v>49</v>
      </c>
      <c r="H18" s="33">
        <v>11</v>
      </c>
      <c r="I18" s="34">
        <v>321.7</v>
      </c>
      <c r="J18" s="35">
        <f>I18*H18</f>
        <v>3538.7</v>
      </c>
    </row>
    <row r="19" spans="1:10" s="29" customFormat="1" ht="102" customHeight="1" x14ac:dyDescent="0.25">
      <c r="A19" s="76" t="s">
        <v>32</v>
      </c>
      <c r="B19" s="31"/>
      <c r="C19" s="158" t="s">
        <v>342</v>
      </c>
      <c r="D19" s="158"/>
      <c r="E19" s="158"/>
      <c r="F19" s="158"/>
      <c r="G19" s="32" t="s">
        <v>49</v>
      </c>
      <c r="H19" s="33">
        <v>10</v>
      </c>
      <c r="I19" s="34">
        <v>240</v>
      </c>
      <c r="J19" s="35">
        <f t="shared" ref="J19" si="0">I19*H19</f>
        <v>2400</v>
      </c>
    </row>
    <row r="20" spans="1:10" s="29" customFormat="1" ht="56.25" customHeight="1" x14ac:dyDescent="0.25">
      <c r="A20" s="75" t="s">
        <v>33</v>
      </c>
      <c r="B20" s="56"/>
      <c r="C20" s="154" t="s">
        <v>343</v>
      </c>
      <c r="D20" s="155"/>
      <c r="E20" s="155"/>
      <c r="F20" s="156"/>
      <c r="G20" s="57" t="s">
        <v>47</v>
      </c>
      <c r="H20" s="58">
        <v>2.0699999999999998</v>
      </c>
      <c r="I20" s="59">
        <v>495</v>
      </c>
      <c r="J20" s="60">
        <f>I20*H20</f>
        <v>1024.6499999999999</v>
      </c>
    </row>
    <row r="21" spans="1:10" s="29" customFormat="1" ht="102" customHeight="1" x14ac:dyDescent="0.25">
      <c r="A21" s="75" t="s">
        <v>37</v>
      </c>
      <c r="B21" s="68"/>
      <c r="C21" s="158" t="s">
        <v>344</v>
      </c>
      <c r="D21" s="158"/>
      <c r="E21" s="158"/>
      <c r="F21" s="158"/>
      <c r="G21" s="57" t="s">
        <v>46</v>
      </c>
      <c r="H21" s="58">
        <v>261.76</v>
      </c>
      <c r="I21" s="67">
        <v>87.15</v>
      </c>
      <c r="J21" s="60">
        <f t="shared" ref="J21" si="1">H21*I21</f>
        <v>22812.384000000002</v>
      </c>
    </row>
    <row r="22" spans="1:10" s="29" customFormat="1" ht="115.5" customHeight="1" x14ac:dyDescent="0.25">
      <c r="A22" s="75" t="s">
        <v>38</v>
      </c>
      <c r="B22" s="68"/>
      <c r="C22" s="158" t="s">
        <v>345</v>
      </c>
      <c r="D22" s="158"/>
      <c r="E22" s="158"/>
      <c r="F22" s="158"/>
      <c r="G22" s="57" t="s">
        <v>48</v>
      </c>
      <c r="H22" s="58">
        <v>183.12</v>
      </c>
      <c r="I22" s="67">
        <f>551.58/2</f>
        <v>275.79000000000002</v>
      </c>
      <c r="J22" s="60">
        <f t="shared" ref="J22" si="2">H22*I22</f>
        <v>50502.664800000006</v>
      </c>
    </row>
    <row r="23" spans="1:10" s="29" customFormat="1" ht="115.5" customHeight="1" x14ac:dyDescent="0.25">
      <c r="A23" s="76" t="s">
        <v>39</v>
      </c>
      <c r="B23" s="31"/>
      <c r="C23" s="158" t="s">
        <v>346</v>
      </c>
      <c r="D23" s="158"/>
      <c r="E23" s="158"/>
      <c r="F23" s="158"/>
      <c r="G23" s="32" t="s">
        <v>48</v>
      </c>
      <c r="H23" s="33">
        <v>99.1</v>
      </c>
      <c r="I23" s="34">
        <f>1135/0.7</f>
        <v>1621.4285714285716</v>
      </c>
      <c r="J23" s="35">
        <f>I23*H23</f>
        <v>160683.57142857142</v>
      </c>
    </row>
    <row r="24" spans="1:10" s="29" customFormat="1" ht="90" customHeight="1" x14ac:dyDescent="0.25">
      <c r="A24" s="76" t="s">
        <v>40</v>
      </c>
      <c r="B24" s="31"/>
      <c r="C24" s="163" t="s">
        <v>347</v>
      </c>
      <c r="D24" s="164"/>
      <c r="E24" s="164"/>
      <c r="F24" s="164"/>
      <c r="G24" s="32" t="s">
        <v>48</v>
      </c>
      <c r="H24" s="33">
        <v>5.3</v>
      </c>
      <c r="I24" s="34">
        <v>387</v>
      </c>
      <c r="J24" s="35">
        <f t="shared" ref="J24:J45" si="3">I24*H24</f>
        <v>2051.1</v>
      </c>
    </row>
    <row r="25" spans="1:10" s="29" customFormat="1" ht="126.75" customHeight="1" x14ac:dyDescent="0.25">
      <c r="A25" s="75" t="s">
        <v>41</v>
      </c>
      <c r="B25" s="56"/>
      <c r="C25" s="163" t="s">
        <v>348</v>
      </c>
      <c r="D25" s="164"/>
      <c r="E25" s="164"/>
      <c r="F25" s="164"/>
      <c r="G25" s="57" t="s">
        <v>49</v>
      </c>
      <c r="H25" s="58">
        <v>8</v>
      </c>
      <c r="I25" s="59">
        <v>535.29999999999995</v>
      </c>
      <c r="J25" s="60">
        <f t="shared" si="3"/>
        <v>4282.3999999999996</v>
      </c>
    </row>
    <row r="26" spans="1:10" s="29" customFormat="1" ht="126" customHeight="1" x14ac:dyDescent="0.25">
      <c r="A26" s="75" t="s">
        <v>42</v>
      </c>
      <c r="B26" s="56"/>
      <c r="C26" s="163" t="s">
        <v>349</v>
      </c>
      <c r="D26" s="164"/>
      <c r="E26" s="164"/>
      <c r="F26" s="164"/>
      <c r="G26" s="57" t="s">
        <v>49</v>
      </c>
      <c r="H26" s="58">
        <v>8</v>
      </c>
      <c r="I26" s="59">
        <f>950/0.6</f>
        <v>1583.3333333333335</v>
      </c>
      <c r="J26" s="60">
        <f t="shared" si="3"/>
        <v>12666.666666666668</v>
      </c>
    </row>
    <row r="27" spans="1:10" s="29" customFormat="1" ht="115.5" customHeight="1" x14ac:dyDescent="0.25">
      <c r="A27" s="55" t="s">
        <v>43</v>
      </c>
      <c r="B27" s="56"/>
      <c r="C27" s="163" t="s">
        <v>128</v>
      </c>
      <c r="D27" s="164"/>
      <c r="E27" s="164"/>
      <c r="F27" s="164"/>
      <c r="G27" s="57" t="s">
        <v>49</v>
      </c>
      <c r="H27" s="58">
        <v>2</v>
      </c>
      <c r="I27" s="59">
        <f>6100/0.65</f>
        <v>9384.6153846153848</v>
      </c>
      <c r="J27" s="60">
        <f t="shared" si="3"/>
        <v>18769.23076923077</v>
      </c>
    </row>
    <row r="28" spans="1:10" s="29" customFormat="1" ht="111.75" customHeight="1" x14ac:dyDescent="0.25">
      <c r="A28" s="55" t="s">
        <v>44</v>
      </c>
      <c r="B28" s="56"/>
      <c r="C28" s="163" t="s">
        <v>350</v>
      </c>
      <c r="D28" s="164"/>
      <c r="E28" s="164"/>
      <c r="F28" s="164"/>
      <c r="G28" s="57" t="s">
        <v>49</v>
      </c>
      <c r="H28" s="58">
        <v>2</v>
      </c>
      <c r="I28" s="59">
        <f>4960/0.6</f>
        <v>8266.6666666666679</v>
      </c>
      <c r="J28" s="60">
        <f t="shared" si="3"/>
        <v>16533.333333333336</v>
      </c>
    </row>
    <row r="29" spans="1:10" s="29" customFormat="1" ht="111.75" customHeight="1" x14ac:dyDescent="0.25">
      <c r="A29" s="55" t="s">
        <v>45</v>
      </c>
      <c r="B29" s="56"/>
      <c r="C29" s="163" t="s">
        <v>129</v>
      </c>
      <c r="D29" s="164"/>
      <c r="E29" s="164"/>
      <c r="F29" s="164"/>
      <c r="G29" s="57" t="s">
        <v>49</v>
      </c>
      <c r="H29" s="58">
        <v>1</v>
      </c>
      <c r="I29" s="59">
        <f>12500/0.7</f>
        <v>17857.142857142859</v>
      </c>
      <c r="J29" s="60">
        <f t="shared" si="3"/>
        <v>17857.142857142859</v>
      </c>
    </row>
    <row r="30" spans="1:10" s="29" customFormat="1" ht="111.75" customHeight="1" x14ac:dyDescent="0.25">
      <c r="A30" s="75" t="s">
        <v>50</v>
      </c>
      <c r="B30" s="56"/>
      <c r="C30" s="163" t="s">
        <v>130</v>
      </c>
      <c r="D30" s="164"/>
      <c r="E30" s="164"/>
      <c r="F30" s="164"/>
      <c r="G30" s="57" t="s">
        <v>49</v>
      </c>
      <c r="H30" s="58">
        <v>8</v>
      </c>
      <c r="I30" s="59">
        <v>1315</v>
      </c>
      <c r="J30" s="60">
        <f t="shared" si="3"/>
        <v>10520</v>
      </c>
    </row>
    <row r="31" spans="1:10" s="29" customFormat="1" ht="124.5" customHeight="1" x14ac:dyDescent="0.25">
      <c r="A31" s="75" t="s">
        <v>51</v>
      </c>
      <c r="B31" s="56"/>
      <c r="C31" s="163" t="s">
        <v>132</v>
      </c>
      <c r="D31" s="164"/>
      <c r="E31" s="164"/>
      <c r="F31" s="164"/>
      <c r="G31" s="57" t="s">
        <v>49</v>
      </c>
      <c r="H31" s="58">
        <v>8</v>
      </c>
      <c r="I31" s="59">
        <v>425</v>
      </c>
      <c r="J31" s="60">
        <f t="shared" si="3"/>
        <v>3400</v>
      </c>
    </row>
    <row r="32" spans="1:10" s="29" customFormat="1" ht="124.5" customHeight="1" x14ac:dyDescent="0.25">
      <c r="A32" s="75" t="s">
        <v>52</v>
      </c>
      <c r="B32" s="56"/>
      <c r="C32" s="163" t="s">
        <v>351</v>
      </c>
      <c r="D32" s="164"/>
      <c r="E32" s="164"/>
      <c r="F32" s="164"/>
      <c r="G32" s="57" t="s">
        <v>49</v>
      </c>
      <c r="H32" s="58">
        <v>8</v>
      </c>
      <c r="I32" s="59">
        <v>3237</v>
      </c>
      <c r="J32" s="60">
        <f t="shared" si="3"/>
        <v>25896</v>
      </c>
    </row>
    <row r="33" spans="1:10" s="29" customFormat="1" ht="101.25" customHeight="1" x14ac:dyDescent="0.25">
      <c r="A33" s="55" t="s">
        <v>53</v>
      </c>
      <c r="B33" s="56"/>
      <c r="C33" s="163" t="s">
        <v>352</v>
      </c>
      <c r="D33" s="164"/>
      <c r="E33" s="164"/>
      <c r="F33" s="164"/>
      <c r="G33" s="57" t="s">
        <v>49</v>
      </c>
      <c r="H33" s="58">
        <v>2</v>
      </c>
      <c r="I33" s="59">
        <f>4000/0.524</f>
        <v>7633.5877862595416</v>
      </c>
      <c r="J33" s="60">
        <f t="shared" si="3"/>
        <v>15267.175572519083</v>
      </c>
    </row>
    <row r="34" spans="1:10" s="29" customFormat="1" ht="90" customHeight="1" x14ac:dyDescent="0.25">
      <c r="A34" s="30" t="s">
        <v>54</v>
      </c>
      <c r="B34" s="56"/>
      <c r="C34" s="163" t="s">
        <v>353</v>
      </c>
      <c r="D34" s="164"/>
      <c r="E34" s="164"/>
      <c r="F34" s="164"/>
      <c r="G34" s="57" t="s">
        <v>49</v>
      </c>
      <c r="H34" s="58">
        <v>1</v>
      </c>
      <c r="I34" s="59">
        <v>6750</v>
      </c>
      <c r="J34" s="60">
        <f t="shared" si="3"/>
        <v>6750</v>
      </c>
    </row>
    <row r="35" spans="1:10" s="29" customFormat="1" ht="101.25" customHeight="1" x14ac:dyDescent="0.25">
      <c r="A35" s="55" t="s">
        <v>55</v>
      </c>
      <c r="B35" s="56"/>
      <c r="C35" s="163" t="s">
        <v>354</v>
      </c>
      <c r="D35" s="164"/>
      <c r="E35" s="164"/>
      <c r="F35" s="164"/>
      <c r="G35" s="57" t="s">
        <v>49</v>
      </c>
      <c r="H35" s="58">
        <v>1</v>
      </c>
      <c r="I35" s="59">
        <f>5300/0.7+415</f>
        <v>7986.4285714285716</v>
      </c>
      <c r="J35" s="60">
        <f t="shared" si="3"/>
        <v>7986.4285714285716</v>
      </c>
    </row>
    <row r="36" spans="1:10" s="29" customFormat="1" ht="89.25" customHeight="1" x14ac:dyDescent="0.25">
      <c r="A36" s="55" t="s">
        <v>56</v>
      </c>
      <c r="B36" s="56"/>
      <c r="C36" s="163" t="s">
        <v>355</v>
      </c>
      <c r="D36" s="164"/>
      <c r="E36" s="164"/>
      <c r="F36" s="164"/>
      <c r="G36" s="57" t="s">
        <v>49</v>
      </c>
      <c r="H36" s="58">
        <v>2</v>
      </c>
      <c r="I36" s="59">
        <v>872</v>
      </c>
      <c r="J36" s="60">
        <f t="shared" si="3"/>
        <v>1744</v>
      </c>
    </row>
    <row r="37" spans="1:10" s="29" customFormat="1" ht="101.25" customHeight="1" x14ac:dyDescent="0.25">
      <c r="A37" s="30" t="s">
        <v>57</v>
      </c>
      <c r="B37" s="31"/>
      <c r="C37" s="163" t="s">
        <v>356</v>
      </c>
      <c r="D37" s="164"/>
      <c r="E37" s="164"/>
      <c r="F37" s="164"/>
      <c r="G37" s="32" t="s">
        <v>49</v>
      </c>
      <c r="H37" s="33">
        <v>3</v>
      </c>
      <c r="I37" s="34">
        <f>2315/0.7+1200</f>
        <v>4507.1428571428569</v>
      </c>
      <c r="J37" s="35">
        <f t="shared" si="3"/>
        <v>13521.428571428571</v>
      </c>
    </row>
    <row r="38" spans="1:10" s="29" customFormat="1" ht="102" customHeight="1" x14ac:dyDescent="0.25">
      <c r="A38" s="55" t="s">
        <v>58</v>
      </c>
      <c r="B38" s="56"/>
      <c r="C38" s="163" t="s">
        <v>357</v>
      </c>
      <c r="D38" s="164"/>
      <c r="E38" s="164"/>
      <c r="F38" s="164"/>
      <c r="G38" s="57" t="s">
        <v>49</v>
      </c>
      <c r="H38" s="58">
        <v>2</v>
      </c>
      <c r="I38" s="59">
        <f>1022/0.7+1000</f>
        <v>2460</v>
      </c>
      <c r="J38" s="60">
        <f t="shared" si="3"/>
        <v>4920</v>
      </c>
    </row>
    <row r="39" spans="1:10" s="29" customFormat="1" ht="111.75" customHeight="1" x14ac:dyDescent="0.25">
      <c r="A39" s="76" t="s">
        <v>59</v>
      </c>
      <c r="B39" s="31"/>
      <c r="C39" s="163" t="s">
        <v>358</v>
      </c>
      <c r="D39" s="164"/>
      <c r="E39" s="164"/>
      <c r="F39" s="164"/>
      <c r="G39" s="32" t="s">
        <v>49</v>
      </c>
      <c r="H39" s="33">
        <v>1</v>
      </c>
      <c r="I39" s="34">
        <v>38155</v>
      </c>
      <c r="J39" s="35">
        <f t="shared" si="3"/>
        <v>38155</v>
      </c>
    </row>
    <row r="40" spans="1:10" s="29" customFormat="1" ht="135.75" customHeight="1" x14ac:dyDescent="0.25">
      <c r="A40" s="75" t="s">
        <v>60</v>
      </c>
      <c r="B40" s="56"/>
      <c r="C40" s="158" t="s">
        <v>359</v>
      </c>
      <c r="D40" s="158"/>
      <c r="E40" s="158"/>
      <c r="F40" s="158"/>
      <c r="G40" s="57" t="s">
        <v>49</v>
      </c>
      <c r="H40" s="58">
        <v>2</v>
      </c>
      <c r="I40" s="59">
        <v>1316</v>
      </c>
      <c r="J40" s="60">
        <f t="shared" si="3"/>
        <v>2632</v>
      </c>
    </row>
    <row r="41" spans="1:10" s="29" customFormat="1" ht="138" customHeight="1" x14ac:dyDescent="0.25">
      <c r="A41" s="75" t="s">
        <v>61</v>
      </c>
      <c r="B41" s="56"/>
      <c r="C41" s="158" t="s">
        <v>360</v>
      </c>
      <c r="D41" s="158"/>
      <c r="E41" s="158"/>
      <c r="F41" s="158"/>
      <c r="G41" s="57" t="s">
        <v>49</v>
      </c>
      <c r="H41" s="58">
        <v>14</v>
      </c>
      <c r="I41" s="59">
        <v>895</v>
      </c>
      <c r="J41" s="60">
        <f t="shared" si="3"/>
        <v>12530</v>
      </c>
    </row>
    <row r="42" spans="1:10" s="29" customFormat="1" ht="150" customHeight="1" x14ac:dyDescent="0.25">
      <c r="A42" s="75" t="s">
        <v>62</v>
      </c>
      <c r="B42" s="56"/>
      <c r="C42" s="158" t="s">
        <v>361</v>
      </c>
      <c r="D42" s="158"/>
      <c r="E42" s="158"/>
      <c r="F42" s="158"/>
      <c r="G42" s="57" t="s">
        <v>49</v>
      </c>
      <c r="H42" s="58">
        <v>10</v>
      </c>
      <c r="I42" s="59">
        <v>635</v>
      </c>
      <c r="J42" s="60">
        <f t="shared" si="3"/>
        <v>6350</v>
      </c>
    </row>
    <row r="43" spans="1:10" s="29" customFormat="1" ht="138" customHeight="1" x14ac:dyDescent="0.25">
      <c r="A43" s="75" t="s">
        <v>63</v>
      </c>
      <c r="B43" s="56"/>
      <c r="C43" s="158" t="s">
        <v>362</v>
      </c>
      <c r="D43" s="158"/>
      <c r="E43" s="158"/>
      <c r="F43" s="158"/>
      <c r="G43" s="57" t="s">
        <v>49</v>
      </c>
      <c r="H43" s="58">
        <v>2</v>
      </c>
      <c r="I43" s="59">
        <v>527</v>
      </c>
      <c r="J43" s="60">
        <f t="shared" si="3"/>
        <v>1054</v>
      </c>
    </row>
    <row r="44" spans="1:10" s="29" customFormat="1" ht="147" customHeight="1" x14ac:dyDescent="0.25">
      <c r="A44" s="76" t="s">
        <v>64</v>
      </c>
      <c r="B44" s="56"/>
      <c r="C44" s="158" t="s">
        <v>363</v>
      </c>
      <c r="D44" s="158"/>
      <c r="E44" s="158"/>
      <c r="F44" s="158"/>
      <c r="G44" s="57" t="s">
        <v>49</v>
      </c>
      <c r="H44" s="58">
        <v>1</v>
      </c>
      <c r="I44" s="59">
        <v>385</v>
      </c>
      <c r="J44" s="60">
        <f t="shared" si="3"/>
        <v>385</v>
      </c>
    </row>
    <row r="45" spans="1:10" s="29" customFormat="1" ht="150" customHeight="1" x14ac:dyDescent="0.25">
      <c r="A45" s="75" t="s">
        <v>65</v>
      </c>
      <c r="B45" s="56"/>
      <c r="C45" s="154" t="s">
        <v>364</v>
      </c>
      <c r="D45" s="155"/>
      <c r="E45" s="155"/>
      <c r="F45" s="156"/>
      <c r="G45" s="57" t="s">
        <v>49</v>
      </c>
      <c r="H45" s="58">
        <v>43</v>
      </c>
      <c r="I45" s="59">
        <v>523</v>
      </c>
      <c r="J45" s="60">
        <f t="shared" si="3"/>
        <v>22489</v>
      </c>
    </row>
    <row r="46" spans="1:10" s="29" customFormat="1" ht="114" customHeight="1" x14ac:dyDescent="0.25">
      <c r="A46" s="75" t="s">
        <v>68</v>
      </c>
      <c r="B46" s="56"/>
      <c r="C46" s="158" t="s">
        <v>126</v>
      </c>
      <c r="D46" s="158"/>
      <c r="E46" s="158"/>
      <c r="F46" s="158"/>
      <c r="G46" s="57" t="s">
        <v>49</v>
      </c>
      <c r="H46" s="58">
        <v>32</v>
      </c>
      <c r="I46" s="59">
        <v>730</v>
      </c>
      <c r="J46" s="60">
        <f t="shared" ref="J46:J48" si="4">I46*H46</f>
        <v>23360</v>
      </c>
    </row>
    <row r="47" spans="1:10" s="29" customFormat="1" ht="155.25" customHeight="1" x14ac:dyDescent="0.25">
      <c r="A47" s="75" t="s">
        <v>70</v>
      </c>
      <c r="B47" s="56"/>
      <c r="C47" s="158" t="s">
        <v>365</v>
      </c>
      <c r="D47" s="158"/>
      <c r="E47" s="158"/>
      <c r="F47" s="158"/>
      <c r="G47" s="57" t="s">
        <v>49</v>
      </c>
      <c r="H47" s="58">
        <v>1</v>
      </c>
      <c r="I47" s="59">
        <f>1415</f>
        <v>1415</v>
      </c>
      <c r="J47" s="60">
        <f t="shared" si="4"/>
        <v>1415</v>
      </c>
    </row>
    <row r="48" spans="1:10" s="29" customFormat="1" ht="155.25" customHeight="1" x14ac:dyDescent="0.25">
      <c r="A48" s="75" t="s">
        <v>71</v>
      </c>
      <c r="B48" s="56"/>
      <c r="C48" s="158" t="s">
        <v>366</v>
      </c>
      <c r="D48" s="158"/>
      <c r="E48" s="158"/>
      <c r="F48" s="158"/>
      <c r="G48" s="57" t="s">
        <v>49</v>
      </c>
      <c r="H48" s="58">
        <v>1</v>
      </c>
      <c r="I48" s="59">
        <v>725</v>
      </c>
      <c r="J48" s="60">
        <f t="shared" si="4"/>
        <v>725</v>
      </c>
    </row>
    <row r="49" spans="1:10" s="29" customFormat="1" ht="12" thickBot="1" x14ac:dyDescent="0.3">
      <c r="A49" s="30"/>
      <c r="B49" s="31"/>
      <c r="C49" s="162"/>
      <c r="D49" s="162"/>
      <c r="E49" s="162"/>
      <c r="F49" s="162"/>
      <c r="G49" s="32"/>
      <c r="H49" s="33"/>
      <c r="I49" s="34" t="s">
        <v>26</v>
      </c>
      <c r="J49" s="35">
        <f>SUM(J16:J48)</f>
        <v>521582.91617032123</v>
      </c>
    </row>
    <row r="50" spans="1:10" ht="12.75" customHeight="1" x14ac:dyDescent="0.2">
      <c r="A50" s="39"/>
      <c r="B50" s="40"/>
      <c r="C50" s="40"/>
      <c r="D50" s="40"/>
      <c r="E50" s="40"/>
      <c r="F50" s="41"/>
      <c r="G50" s="48"/>
      <c r="H50" s="49"/>
      <c r="I50" s="50"/>
      <c r="J50" s="36"/>
    </row>
    <row r="51" spans="1:10" x14ac:dyDescent="0.2">
      <c r="A51" s="42" t="s">
        <v>27</v>
      </c>
      <c r="B51" s="21"/>
      <c r="C51" s="43"/>
      <c r="D51" s="43"/>
      <c r="E51" s="43"/>
      <c r="F51" s="44"/>
      <c r="G51" s="51"/>
      <c r="H51" s="52"/>
      <c r="I51" s="53"/>
      <c r="J51" s="37">
        <f>J49</f>
        <v>521582.91617032123</v>
      </c>
    </row>
    <row r="52" spans="1:10" ht="12" thickBot="1" x14ac:dyDescent="0.25">
      <c r="A52" s="45"/>
      <c r="B52" s="46"/>
      <c r="C52" s="46"/>
      <c r="D52" s="46"/>
      <c r="E52" s="46"/>
      <c r="F52" s="47"/>
      <c r="G52" s="54"/>
      <c r="H52" s="46"/>
      <c r="I52" s="47"/>
      <c r="J52" s="38"/>
    </row>
    <row r="53" spans="1:10" s="64" customFormat="1" x14ac:dyDescent="0.25">
      <c r="A53" s="61"/>
      <c r="B53" s="61"/>
      <c r="C53" s="62"/>
      <c r="D53" s="63"/>
      <c r="E53" s="63"/>
      <c r="F53" s="63"/>
      <c r="H53" s="65"/>
      <c r="I53" s="66"/>
      <c r="J53" s="66"/>
    </row>
    <row r="54" spans="1:10" s="64" customFormat="1" x14ac:dyDescent="0.25">
      <c r="A54" s="61" t="s">
        <v>66</v>
      </c>
      <c r="B54" s="61" t="s">
        <v>67</v>
      </c>
      <c r="C54" s="62"/>
      <c r="D54" s="63"/>
      <c r="E54" s="63"/>
      <c r="F54" s="63"/>
      <c r="H54" s="65"/>
      <c r="I54" s="66"/>
      <c r="J54" s="66"/>
    </row>
    <row r="55" spans="1:10" s="64" customFormat="1" x14ac:dyDescent="0.25">
      <c r="A55" s="61"/>
      <c r="B55" s="61"/>
      <c r="C55" s="62"/>
      <c r="D55" s="63"/>
      <c r="E55" s="63"/>
      <c r="F55" s="63"/>
      <c r="H55" s="65"/>
      <c r="I55" s="66"/>
      <c r="J55" s="66"/>
    </row>
    <row r="56" spans="1:10" s="64" customFormat="1" x14ac:dyDescent="0.25">
      <c r="A56" s="61"/>
      <c r="B56" s="61"/>
      <c r="C56" s="62"/>
      <c r="D56" s="63"/>
      <c r="E56" s="63"/>
      <c r="F56" s="63"/>
      <c r="H56" s="65"/>
      <c r="I56" s="66"/>
      <c r="J56" s="66"/>
    </row>
    <row r="57" spans="1:10" s="64" customFormat="1" x14ac:dyDescent="0.25">
      <c r="A57" s="61"/>
      <c r="B57" s="61"/>
      <c r="C57" s="62"/>
      <c r="D57" s="63"/>
      <c r="E57" s="63"/>
      <c r="F57" s="63"/>
      <c r="H57" s="65"/>
      <c r="I57" s="66"/>
      <c r="J57" s="66"/>
    </row>
    <row r="58" spans="1:10" s="64" customFormat="1" x14ac:dyDescent="0.25">
      <c r="A58" s="61"/>
      <c r="B58" s="61"/>
      <c r="C58" s="62"/>
      <c r="D58" s="63"/>
      <c r="E58" s="63"/>
      <c r="F58" s="63"/>
      <c r="H58" s="65"/>
      <c r="I58" s="66"/>
      <c r="J58" s="66"/>
    </row>
    <row r="59" spans="1:10" s="64" customFormat="1" x14ac:dyDescent="0.25">
      <c r="A59" s="61"/>
      <c r="B59" s="61"/>
      <c r="C59" s="62"/>
      <c r="D59" s="63"/>
      <c r="E59" s="63"/>
      <c r="F59" s="63"/>
      <c r="H59" s="65"/>
      <c r="I59" s="66"/>
      <c r="J59" s="66"/>
    </row>
    <row r="60" spans="1:10" s="64" customFormat="1" x14ac:dyDescent="0.25">
      <c r="A60" s="61"/>
      <c r="B60" s="61"/>
      <c r="C60" s="62"/>
      <c r="D60" s="63"/>
      <c r="E60" s="63"/>
      <c r="F60" s="63"/>
      <c r="H60" s="65"/>
      <c r="I60" s="66"/>
      <c r="J60" s="66"/>
    </row>
    <row r="61" spans="1:10" s="64" customFormat="1" x14ac:dyDescent="0.25">
      <c r="A61" s="61"/>
      <c r="B61" s="61"/>
      <c r="C61" s="62"/>
      <c r="D61" s="63"/>
      <c r="E61" s="63"/>
      <c r="F61" s="63"/>
      <c r="H61" s="65"/>
      <c r="I61" s="66"/>
      <c r="J61" s="66"/>
    </row>
    <row r="62" spans="1:10" s="64" customFormat="1" x14ac:dyDescent="0.25">
      <c r="A62" s="61"/>
      <c r="B62" s="61"/>
      <c r="C62" s="62"/>
      <c r="D62" s="63"/>
      <c r="E62" s="63"/>
      <c r="F62" s="63"/>
      <c r="H62" s="65"/>
      <c r="I62" s="66"/>
      <c r="J62" s="66"/>
    </row>
    <row r="63" spans="1:10" s="64" customFormat="1" x14ac:dyDescent="0.25">
      <c r="A63" s="61"/>
      <c r="B63" s="61"/>
      <c r="C63" s="62"/>
      <c r="D63" s="63"/>
      <c r="E63" s="63"/>
      <c r="F63" s="63"/>
      <c r="H63" s="65"/>
      <c r="I63" s="66"/>
      <c r="J63" s="66"/>
    </row>
    <row r="64" spans="1:10" s="64" customFormat="1" x14ac:dyDescent="0.25">
      <c r="A64" s="61"/>
      <c r="B64" s="61"/>
      <c r="C64" s="62"/>
      <c r="D64" s="63"/>
      <c r="E64" s="63"/>
      <c r="F64" s="63"/>
      <c r="H64" s="65"/>
      <c r="I64" s="66"/>
      <c r="J64" s="66"/>
    </row>
    <row r="65" spans="1:10" s="64" customFormat="1" x14ac:dyDescent="0.25">
      <c r="A65" s="61"/>
      <c r="B65" s="61"/>
      <c r="C65" s="62"/>
      <c r="D65" s="63"/>
      <c r="E65" s="63"/>
      <c r="F65" s="63"/>
      <c r="H65" s="65"/>
      <c r="I65" s="66"/>
      <c r="J65" s="66"/>
    </row>
    <row r="66" spans="1:10" s="64" customFormat="1" x14ac:dyDescent="0.25">
      <c r="A66" s="61"/>
      <c r="B66" s="61"/>
      <c r="C66" s="62"/>
      <c r="D66" s="63"/>
      <c r="E66" s="63"/>
      <c r="F66" s="63"/>
      <c r="H66" s="65"/>
      <c r="I66" s="66"/>
      <c r="J66" s="66"/>
    </row>
    <row r="67" spans="1:10" s="64" customFormat="1" x14ac:dyDescent="0.25">
      <c r="A67" s="61"/>
      <c r="B67" s="61"/>
      <c r="C67" s="62"/>
      <c r="D67" s="63"/>
      <c r="E67" s="63"/>
      <c r="F67" s="63"/>
      <c r="H67" s="65"/>
      <c r="I67" s="66"/>
      <c r="J67" s="66"/>
    </row>
    <row r="68" spans="1:10" s="64" customFormat="1" x14ac:dyDescent="0.25">
      <c r="A68" s="61"/>
      <c r="B68" s="61"/>
      <c r="C68" s="62"/>
      <c r="D68" s="63"/>
      <c r="E68" s="63"/>
      <c r="F68" s="63"/>
      <c r="H68" s="65"/>
      <c r="I68" s="66"/>
      <c r="J68" s="66"/>
    </row>
    <row r="69" spans="1:10" s="64" customFormat="1" x14ac:dyDescent="0.25">
      <c r="A69" s="61"/>
      <c r="B69" s="61"/>
      <c r="C69" s="62"/>
      <c r="D69" s="63"/>
      <c r="E69" s="63"/>
      <c r="F69" s="63"/>
      <c r="H69" s="65"/>
      <c r="I69" s="66"/>
      <c r="J69" s="66"/>
    </row>
    <row r="70" spans="1:10" s="64" customFormat="1" x14ac:dyDescent="0.25">
      <c r="A70" s="61"/>
      <c r="B70" s="61"/>
      <c r="C70" s="62"/>
      <c r="D70" s="63"/>
      <c r="E70" s="63"/>
      <c r="F70" s="63"/>
      <c r="H70" s="65"/>
      <c r="I70" s="66"/>
      <c r="J70" s="66"/>
    </row>
    <row r="71" spans="1:10" s="64" customFormat="1" x14ac:dyDescent="0.25">
      <c r="A71" s="61"/>
      <c r="B71" s="61"/>
      <c r="C71" s="62"/>
      <c r="D71" s="63"/>
      <c r="E71" s="63"/>
      <c r="F71" s="63"/>
      <c r="H71" s="65"/>
      <c r="I71" s="66"/>
      <c r="J71" s="66"/>
    </row>
    <row r="72" spans="1:10" s="64" customFormat="1" x14ac:dyDescent="0.25">
      <c r="A72" s="61"/>
      <c r="B72" s="61"/>
      <c r="C72" s="62"/>
      <c r="D72" s="63"/>
      <c r="E72" s="63"/>
      <c r="F72" s="63"/>
      <c r="H72" s="65"/>
      <c r="I72" s="66"/>
      <c r="J72" s="66"/>
    </row>
  </sheetData>
  <mergeCells count="34">
    <mergeCell ref="C46:F46"/>
    <mergeCell ref="C47:F47"/>
    <mergeCell ref="C48:F48"/>
    <mergeCell ref="C49:F49"/>
    <mergeCell ref="C40:F40"/>
    <mergeCell ref="C41:F41"/>
    <mergeCell ref="C42:F42"/>
    <mergeCell ref="C43:F43"/>
    <mergeCell ref="C44:F44"/>
    <mergeCell ref="C45:F45"/>
    <mergeCell ref="C39:F39"/>
    <mergeCell ref="C28:F28"/>
    <mergeCell ref="C29:F29"/>
    <mergeCell ref="C30:F30"/>
    <mergeCell ref="C31:F31"/>
    <mergeCell ref="C32:F32"/>
    <mergeCell ref="C33:F33"/>
    <mergeCell ref="C34:F34"/>
    <mergeCell ref="C35:F35"/>
    <mergeCell ref="C36:F36"/>
    <mergeCell ref="C37:F37"/>
    <mergeCell ref="C38:F38"/>
    <mergeCell ref="C27:F27"/>
    <mergeCell ref="C16:F16"/>
    <mergeCell ref="C17:F17"/>
    <mergeCell ref="C18:F18"/>
    <mergeCell ref="C19:F19"/>
    <mergeCell ref="C20:F20"/>
    <mergeCell ref="C21:F21"/>
    <mergeCell ref="C22:F22"/>
    <mergeCell ref="C23:F23"/>
    <mergeCell ref="C24:F24"/>
    <mergeCell ref="C25:F25"/>
    <mergeCell ref="C26:F26"/>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13" zoomScaleNormal="100" zoomScaleSheetLayoutView="100" workbookViewId="0">
      <selection activeCell="C19" sqref="C19:F19"/>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18" customHeight="1" x14ac:dyDescent="0.25">
      <c r="A1" s="115" t="s">
        <v>461</v>
      </c>
      <c r="B1" s="2"/>
      <c r="C1" s="2"/>
      <c r="D1" s="2"/>
      <c r="E1" s="2"/>
      <c r="F1" s="2"/>
      <c r="G1" s="2"/>
      <c r="H1" s="2"/>
      <c r="I1" s="2"/>
      <c r="J1" s="97"/>
    </row>
    <row r="2" spans="1:10" ht="4.5" customHeight="1"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x14ac:dyDescent="0.2">
      <c r="A5" s="7" t="s">
        <v>0</v>
      </c>
      <c r="B5" s="7"/>
      <c r="C5" s="8" t="s">
        <v>260</v>
      </c>
      <c r="D5" s="9"/>
      <c r="E5" s="9"/>
      <c r="F5" s="9"/>
      <c r="G5" s="10" t="s">
        <v>1</v>
      </c>
      <c r="H5" s="8" t="s">
        <v>2</v>
      </c>
      <c r="I5" s="9"/>
      <c r="J5" s="9"/>
    </row>
    <row r="6" spans="1:10" x14ac:dyDescent="0.2">
      <c r="A6" s="7" t="s">
        <v>3</v>
      </c>
      <c r="B6" s="7"/>
      <c r="C6" s="8" t="s">
        <v>4</v>
      </c>
      <c r="D6" s="9"/>
      <c r="E6" s="9"/>
      <c r="F6" s="9"/>
      <c r="G6" s="10" t="s">
        <v>5</v>
      </c>
      <c r="H6" s="8" t="s">
        <v>6</v>
      </c>
      <c r="I6" s="9"/>
      <c r="J6" s="9"/>
    </row>
    <row r="7" spans="1:10" x14ac:dyDescent="0.2">
      <c r="A7" s="7" t="s">
        <v>7</v>
      </c>
      <c r="B7" s="7"/>
      <c r="C7" s="8" t="s">
        <v>36</v>
      </c>
      <c r="D7" s="9"/>
      <c r="E7" s="9"/>
      <c r="F7" s="9"/>
      <c r="G7" s="10" t="s">
        <v>8</v>
      </c>
      <c r="H7" s="8" t="s">
        <v>36</v>
      </c>
      <c r="I7" s="9"/>
      <c r="J7" s="9"/>
    </row>
    <row r="8" spans="1:10" x14ac:dyDescent="0.2">
      <c r="A8" s="11" t="s">
        <v>29</v>
      </c>
      <c r="B8" s="11"/>
      <c r="C8" s="12"/>
      <c r="D8" s="12"/>
      <c r="E8" s="12"/>
      <c r="F8" s="12"/>
      <c r="G8" s="12"/>
      <c r="H8" s="12"/>
      <c r="I8" s="12"/>
      <c r="J8" s="12"/>
    </row>
    <row r="9" spans="1:10" ht="12.75" x14ac:dyDescent="0.2">
      <c r="A9" s="13" t="s">
        <v>9</v>
      </c>
      <c r="B9" s="13"/>
      <c r="C9" s="14"/>
      <c r="D9" s="14"/>
      <c r="E9" s="14"/>
      <c r="F9" s="14"/>
      <c r="G9" s="14"/>
      <c r="H9" s="14"/>
      <c r="I9" s="14"/>
      <c r="J9" s="14"/>
    </row>
    <row r="10" spans="1:10" x14ac:dyDescent="0.2">
      <c r="A10" s="15" t="s">
        <v>10</v>
      </c>
      <c r="B10" s="15"/>
      <c r="C10" s="16" t="s">
        <v>457</v>
      </c>
    </row>
    <row r="11" spans="1:10" x14ac:dyDescent="0.2">
      <c r="A11" s="15" t="s">
        <v>11</v>
      </c>
      <c r="B11" s="15"/>
      <c r="C11" s="3" t="s">
        <v>12</v>
      </c>
      <c r="G11" s="15"/>
      <c r="I11" s="15" t="s">
        <v>13</v>
      </c>
    </row>
    <row r="12" spans="1:10" x14ac:dyDescent="0.2">
      <c r="A12" s="15" t="s">
        <v>14</v>
      </c>
      <c r="B12" s="15"/>
      <c r="C12" s="16" t="s">
        <v>227</v>
      </c>
      <c r="G12" s="15"/>
      <c r="I12" s="15" t="s">
        <v>15</v>
      </c>
    </row>
    <row r="13" spans="1:10" x14ac:dyDescent="0.2">
      <c r="A13" s="15" t="s">
        <v>16</v>
      </c>
      <c r="B13" s="15"/>
      <c r="C13" s="17">
        <f>J24</f>
        <v>237743.58638000005</v>
      </c>
      <c r="E13" s="15" t="s">
        <v>17</v>
      </c>
      <c r="F13" s="3" t="s">
        <v>18</v>
      </c>
      <c r="G13" s="15"/>
      <c r="I13" s="15"/>
      <c r="J13" s="18"/>
    </row>
    <row r="14" spans="1:10" x14ac:dyDescent="0.2">
      <c r="A14" s="19" t="s">
        <v>19</v>
      </c>
      <c r="B14" s="20"/>
      <c r="C14" s="21" t="s">
        <v>20</v>
      </c>
      <c r="D14" s="21"/>
      <c r="E14" s="21"/>
      <c r="F14" s="20"/>
      <c r="G14" s="22" t="s">
        <v>21</v>
      </c>
      <c r="H14" s="23" t="s">
        <v>22</v>
      </c>
      <c r="I14" s="23" t="s">
        <v>23</v>
      </c>
      <c r="J14" s="23" t="s">
        <v>24</v>
      </c>
    </row>
    <row r="15" spans="1:10" x14ac:dyDescent="0.2">
      <c r="A15" s="24" t="s">
        <v>25</v>
      </c>
      <c r="B15" s="25"/>
      <c r="C15" s="26"/>
      <c r="D15" s="26"/>
      <c r="E15" s="26"/>
      <c r="F15" s="26"/>
      <c r="G15" s="26"/>
      <c r="H15" s="27"/>
      <c r="I15" s="27"/>
      <c r="J15" s="28"/>
    </row>
    <row r="16" spans="1:10" s="29" customFormat="1" ht="96" customHeight="1" x14ac:dyDescent="0.25">
      <c r="A16" s="30" t="s">
        <v>28</v>
      </c>
      <c r="B16" s="31"/>
      <c r="C16" s="171" t="s">
        <v>272</v>
      </c>
      <c r="D16" s="162"/>
      <c r="E16" s="162"/>
      <c r="F16" s="162"/>
      <c r="G16" s="32" t="s">
        <v>46</v>
      </c>
      <c r="H16" s="33">
        <f>82.29-15.85-(1.17*6.61)</f>
        <v>58.706300000000013</v>
      </c>
      <c r="I16" s="34">
        <v>1685</v>
      </c>
      <c r="J16" s="35">
        <f>I16*H16</f>
        <v>98920.115500000029</v>
      </c>
    </row>
    <row r="17" spans="1:11" s="29" customFormat="1" ht="108.75" customHeight="1" x14ac:dyDescent="0.25">
      <c r="A17" s="30" t="s">
        <v>30</v>
      </c>
      <c r="B17" s="31"/>
      <c r="C17" s="171" t="s">
        <v>273</v>
      </c>
      <c r="D17" s="162"/>
      <c r="E17" s="162"/>
      <c r="F17" s="162"/>
      <c r="G17" s="32" t="s">
        <v>46</v>
      </c>
      <c r="H17" s="33">
        <f>(1.17*6.61)</f>
        <v>7.7336999999999998</v>
      </c>
      <c r="I17" s="34">
        <v>1856</v>
      </c>
      <c r="J17" s="35">
        <f>I17*H17</f>
        <v>14353.7472</v>
      </c>
    </row>
    <row r="18" spans="1:11" s="29" customFormat="1" ht="107.25" customHeight="1" x14ac:dyDescent="0.25">
      <c r="A18" s="30" t="s">
        <v>31</v>
      </c>
      <c r="B18" s="31"/>
      <c r="C18" s="171" t="s">
        <v>274</v>
      </c>
      <c r="D18" s="162"/>
      <c r="E18" s="162"/>
      <c r="F18" s="162"/>
      <c r="G18" s="32" t="s">
        <v>46</v>
      </c>
      <c r="H18" s="33">
        <f>15.85</f>
        <v>15.85</v>
      </c>
      <c r="I18" s="34">
        <v>2986</v>
      </c>
      <c r="J18" s="35">
        <f>I18*H18</f>
        <v>47328.1</v>
      </c>
      <c r="K18" s="77"/>
    </row>
    <row r="19" spans="1:11" s="29" customFormat="1" ht="120" customHeight="1" x14ac:dyDescent="0.25">
      <c r="A19" s="30" t="s">
        <v>32</v>
      </c>
      <c r="B19" s="31"/>
      <c r="C19" s="171" t="s">
        <v>275</v>
      </c>
      <c r="D19" s="162"/>
      <c r="E19" s="162"/>
      <c r="F19" s="162"/>
      <c r="G19" s="32" t="s">
        <v>46</v>
      </c>
      <c r="H19" s="33">
        <f>(82.29-15.85)*1.2</f>
        <v>79.728000000000009</v>
      </c>
      <c r="I19" s="34">
        <v>889</v>
      </c>
      <c r="J19" s="35">
        <f>I19*H19</f>
        <v>70878.19200000001</v>
      </c>
    </row>
    <row r="20" spans="1:11" s="29" customFormat="1" ht="96.75" customHeight="1" x14ac:dyDescent="0.25">
      <c r="A20" s="30" t="s">
        <v>33</v>
      </c>
      <c r="B20" s="31"/>
      <c r="C20" s="171" t="s">
        <v>276</v>
      </c>
      <c r="D20" s="162"/>
      <c r="E20" s="162"/>
      <c r="F20" s="162"/>
      <c r="G20" s="32" t="s">
        <v>46</v>
      </c>
      <c r="H20" s="33">
        <f>(82.29-15.85)*1.2</f>
        <v>79.728000000000009</v>
      </c>
      <c r="I20" s="34">
        <v>78.56</v>
      </c>
      <c r="J20" s="35">
        <f>I20*H20</f>
        <v>6263.4316800000006</v>
      </c>
    </row>
    <row r="21" spans="1:11" s="29" customFormat="1" ht="6" customHeight="1" x14ac:dyDescent="0.25">
      <c r="A21" s="30"/>
      <c r="B21" s="31"/>
      <c r="C21" s="72"/>
      <c r="D21" s="73"/>
      <c r="E21" s="73"/>
      <c r="F21" s="74"/>
      <c r="G21" s="32"/>
      <c r="H21" s="33"/>
      <c r="I21" s="34"/>
      <c r="J21" s="35"/>
    </row>
    <row r="22" spans="1:11" s="29" customFormat="1" ht="12" thickBot="1" x14ac:dyDescent="0.3">
      <c r="A22" s="30"/>
      <c r="B22" s="31"/>
      <c r="C22" s="162"/>
      <c r="D22" s="162"/>
      <c r="E22" s="162"/>
      <c r="F22" s="162"/>
      <c r="G22" s="32"/>
      <c r="H22" s="33"/>
      <c r="I22" s="34" t="s">
        <v>26</v>
      </c>
      <c r="J22" s="35">
        <f>SUM(J16:J20)</f>
        <v>237743.58638000005</v>
      </c>
    </row>
    <row r="23" spans="1:11" ht="5.25" customHeight="1" x14ac:dyDescent="0.2">
      <c r="A23" s="39"/>
      <c r="B23" s="40"/>
      <c r="C23" s="40"/>
      <c r="D23" s="40"/>
      <c r="E23" s="40"/>
      <c r="F23" s="41"/>
      <c r="G23" s="48"/>
      <c r="H23" s="49"/>
      <c r="I23" s="50"/>
      <c r="J23" s="36"/>
    </row>
    <row r="24" spans="1:11" x14ac:dyDescent="0.2">
      <c r="A24" s="42" t="s">
        <v>27</v>
      </c>
      <c r="B24" s="21"/>
      <c r="C24" s="43"/>
      <c r="D24" s="43"/>
      <c r="E24" s="43"/>
      <c r="F24" s="44"/>
      <c r="G24" s="51"/>
      <c r="H24" s="52"/>
      <c r="I24" s="53"/>
      <c r="J24" s="37">
        <f>J22</f>
        <v>237743.58638000005</v>
      </c>
    </row>
    <row r="25" spans="1:11" ht="12" thickBot="1" x14ac:dyDescent="0.25">
      <c r="A25" s="45"/>
      <c r="B25" s="46"/>
      <c r="C25" s="46"/>
      <c r="D25" s="46"/>
      <c r="E25" s="46"/>
      <c r="F25" s="47"/>
      <c r="G25" s="54"/>
      <c r="H25" s="46"/>
      <c r="I25" s="47"/>
      <c r="J25" s="38"/>
    </row>
    <row r="26" spans="1:11" s="64" customFormat="1" ht="5.25" customHeight="1" x14ac:dyDescent="0.25">
      <c r="A26" s="61"/>
      <c r="B26" s="61"/>
      <c r="C26" s="62"/>
      <c r="D26" s="63"/>
      <c r="E26" s="63"/>
      <c r="F26" s="63"/>
      <c r="H26" s="65"/>
      <c r="I26" s="66"/>
      <c r="J26" s="66"/>
    </row>
    <row r="27" spans="1:11" s="64" customFormat="1" x14ac:dyDescent="0.25">
      <c r="A27" s="61" t="s">
        <v>66</v>
      </c>
      <c r="B27" s="61" t="s">
        <v>67</v>
      </c>
      <c r="C27" s="62"/>
      <c r="D27" s="63"/>
      <c r="E27" s="63"/>
      <c r="F27" s="63"/>
      <c r="H27" s="65"/>
      <c r="I27" s="66"/>
      <c r="J27" s="66"/>
    </row>
    <row r="28" spans="1:11" s="64" customFormat="1" x14ac:dyDescent="0.25">
      <c r="A28" s="61"/>
      <c r="B28" s="61"/>
      <c r="C28" s="62"/>
      <c r="D28" s="63"/>
      <c r="E28" s="63"/>
      <c r="F28" s="63"/>
      <c r="H28" s="65"/>
      <c r="I28" s="66"/>
      <c r="J28" s="66"/>
    </row>
    <row r="29" spans="1:11" s="64" customFormat="1" x14ac:dyDescent="0.25">
      <c r="A29" s="61"/>
      <c r="B29" s="61"/>
      <c r="C29" s="62"/>
      <c r="D29" s="63"/>
      <c r="E29" s="63"/>
      <c r="F29" s="63"/>
      <c r="H29" s="65"/>
      <c r="I29" s="66"/>
      <c r="J29" s="66"/>
    </row>
    <row r="30" spans="1:11" s="64" customFormat="1" x14ac:dyDescent="0.25">
      <c r="A30" s="61"/>
      <c r="B30" s="61"/>
      <c r="C30" s="62"/>
      <c r="D30" s="63"/>
      <c r="E30" s="63"/>
      <c r="F30" s="63"/>
      <c r="H30" s="65"/>
      <c r="I30" s="66"/>
      <c r="J30" s="66"/>
    </row>
    <row r="31" spans="1:11" s="64" customFormat="1" x14ac:dyDescent="0.25">
      <c r="A31" s="61"/>
      <c r="B31" s="61"/>
      <c r="C31" s="62"/>
      <c r="D31" s="63"/>
      <c r="E31" s="63"/>
      <c r="F31" s="63"/>
      <c r="H31" s="65"/>
      <c r="I31" s="66"/>
      <c r="J31" s="66"/>
    </row>
    <row r="32" spans="1:11" s="64" customFormat="1" x14ac:dyDescent="0.25">
      <c r="A32" s="61"/>
      <c r="B32" s="61"/>
      <c r="C32" s="62"/>
      <c r="D32" s="63"/>
      <c r="E32" s="63"/>
      <c r="F32" s="63"/>
      <c r="H32" s="65"/>
      <c r="I32" s="66"/>
      <c r="J32" s="66"/>
    </row>
    <row r="33" spans="1:10" s="64" customFormat="1" x14ac:dyDescent="0.25">
      <c r="A33" s="61"/>
      <c r="B33" s="61"/>
      <c r="C33" s="62"/>
      <c r="D33" s="63"/>
      <c r="E33" s="63"/>
      <c r="F33" s="63"/>
      <c r="H33" s="65"/>
      <c r="I33" s="66"/>
      <c r="J33" s="66"/>
    </row>
    <row r="34" spans="1:10" s="64" customFormat="1" x14ac:dyDescent="0.25">
      <c r="A34" s="61"/>
      <c r="B34" s="61"/>
      <c r="C34" s="62"/>
      <c r="D34" s="63"/>
      <c r="E34" s="63"/>
      <c r="F34" s="63"/>
      <c r="H34" s="65"/>
      <c r="I34" s="66"/>
      <c r="J34" s="66"/>
    </row>
    <row r="35" spans="1:10" s="64" customFormat="1" x14ac:dyDescent="0.25">
      <c r="A35" s="61"/>
      <c r="B35" s="61"/>
      <c r="C35" s="62"/>
      <c r="D35" s="63"/>
      <c r="E35" s="63"/>
      <c r="F35" s="63"/>
      <c r="H35" s="65"/>
      <c r="I35" s="66"/>
      <c r="J35" s="66"/>
    </row>
    <row r="36" spans="1:10" s="64" customFormat="1" x14ac:dyDescent="0.25">
      <c r="A36" s="61"/>
      <c r="B36" s="61"/>
      <c r="C36" s="62"/>
      <c r="D36" s="63"/>
      <c r="E36" s="63"/>
      <c r="F36" s="63"/>
      <c r="H36" s="65"/>
      <c r="I36" s="66"/>
      <c r="J36" s="66"/>
    </row>
    <row r="37" spans="1:10" s="64" customFormat="1" x14ac:dyDescent="0.25">
      <c r="A37" s="61"/>
      <c r="B37" s="61"/>
      <c r="C37" s="62"/>
      <c r="D37" s="63"/>
      <c r="E37" s="63"/>
      <c r="F37" s="63"/>
      <c r="H37" s="65"/>
      <c r="I37" s="66"/>
      <c r="J37" s="66"/>
    </row>
    <row r="38" spans="1:10" s="64" customFormat="1" x14ac:dyDescent="0.25">
      <c r="A38" s="61"/>
      <c r="B38" s="61"/>
      <c r="C38" s="62"/>
      <c r="D38" s="63"/>
      <c r="E38" s="63"/>
      <c r="F38" s="63"/>
      <c r="H38" s="65"/>
      <c r="I38" s="66"/>
      <c r="J38" s="66"/>
    </row>
    <row r="39" spans="1:10" s="64" customFormat="1" x14ac:dyDescent="0.25">
      <c r="A39" s="61"/>
      <c r="B39" s="61"/>
      <c r="C39" s="62"/>
      <c r="D39" s="63"/>
      <c r="E39" s="63"/>
      <c r="F39" s="63"/>
      <c r="H39" s="65"/>
      <c r="I39" s="66"/>
      <c r="J39" s="66"/>
    </row>
    <row r="40" spans="1:10" s="64" customFormat="1" x14ac:dyDescent="0.25">
      <c r="A40" s="61"/>
      <c r="B40" s="61"/>
      <c r="C40" s="62"/>
      <c r="D40" s="63"/>
      <c r="E40" s="63"/>
      <c r="F40" s="63"/>
      <c r="H40" s="65"/>
      <c r="I40" s="66"/>
      <c r="J40" s="66"/>
    </row>
    <row r="41" spans="1:10" s="64" customFormat="1" x14ac:dyDescent="0.25">
      <c r="A41" s="61"/>
      <c r="B41" s="61"/>
      <c r="C41" s="62"/>
      <c r="D41" s="63"/>
      <c r="E41" s="63"/>
      <c r="F41" s="63"/>
      <c r="H41" s="65"/>
      <c r="I41" s="66"/>
      <c r="J41" s="66"/>
    </row>
    <row r="42" spans="1:10" s="64" customFormat="1" x14ac:dyDescent="0.25">
      <c r="A42" s="61"/>
      <c r="B42" s="61"/>
      <c r="C42" s="62"/>
      <c r="D42" s="63"/>
      <c r="E42" s="63"/>
      <c r="F42" s="63"/>
      <c r="H42" s="65"/>
      <c r="I42" s="66"/>
      <c r="J42" s="66"/>
    </row>
    <row r="43" spans="1:10" s="64" customFormat="1" x14ac:dyDescent="0.25">
      <c r="A43" s="61"/>
      <c r="B43" s="61"/>
      <c r="C43" s="62"/>
      <c r="D43" s="63"/>
      <c r="E43" s="63"/>
      <c r="F43" s="63"/>
      <c r="H43" s="65"/>
      <c r="I43" s="66"/>
      <c r="J43" s="66"/>
    </row>
    <row r="44" spans="1:10" s="64" customFormat="1" x14ac:dyDescent="0.25">
      <c r="A44" s="61"/>
      <c r="B44" s="61"/>
      <c r="C44" s="62"/>
      <c r="D44" s="63"/>
      <c r="E44" s="63"/>
      <c r="F44" s="63"/>
      <c r="H44" s="65"/>
      <c r="I44" s="66"/>
      <c r="J44" s="66"/>
    </row>
    <row r="45" spans="1:10" s="64" customFormat="1" x14ac:dyDescent="0.25">
      <c r="A45" s="61"/>
      <c r="B45" s="61"/>
      <c r="C45" s="62"/>
      <c r="D45" s="63"/>
      <c r="E45" s="63"/>
      <c r="F45" s="63"/>
      <c r="H45" s="65"/>
      <c r="I45" s="66"/>
      <c r="J45" s="66"/>
    </row>
  </sheetData>
  <mergeCells count="6">
    <mergeCell ref="C22:F22"/>
    <mergeCell ref="C16:F16"/>
    <mergeCell ref="C17:F17"/>
    <mergeCell ref="C18:F18"/>
    <mergeCell ref="C19:F19"/>
    <mergeCell ref="C20:F20"/>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Normal="100" zoomScaleSheetLayoutView="100" workbookViewId="0">
      <selection activeCell="H17" sqref="H17"/>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2" ht="21" customHeight="1" x14ac:dyDescent="0.35">
      <c r="A1" s="1" t="s">
        <v>300</v>
      </c>
      <c r="B1" s="1"/>
      <c r="C1" s="2"/>
      <c r="D1" s="2"/>
      <c r="E1" s="2"/>
      <c r="F1" s="2"/>
      <c r="G1" s="2"/>
      <c r="H1" s="2"/>
      <c r="I1" s="2"/>
      <c r="J1" s="2"/>
    </row>
    <row r="2" spans="1:12" ht="4.5" customHeight="1" x14ac:dyDescent="0.35">
      <c r="A2" s="1"/>
      <c r="B2" s="1"/>
      <c r="C2" s="4"/>
      <c r="D2" s="4"/>
      <c r="E2" s="4"/>
      <c r="F2" s="4"/>
      <c r="G2" s="4"/>
      <c r="H2" s="4"/>
      <c r="I2" s="4"/>
      <c r="J2" s="4"/>
    </row>
    <row r="3" spans="1:12" ht="15" x14ac:dyDescent="0.2">
      <c r="A3" s="5" t="s">
        <v>301</v>
      </c>
      <c r="B3" s="5"/>
      <c r="C3" s="6"/>
      <c r="D3" s="6"/>
      <c r="E3" s="6"/>
      <c r="F3" s="6"/>
      <c r="G3" s="6"/>
      <c r="H3" s="6"/>
      <c r="I3" s="6"/>
      <c r="J3" s="6"/>
    </row>
    <row r="4" spans="1:12" ht="15" x14ac:dyDescent="0.2">
      <c r="A4" s="5" t="s">
        <v>302</v>
      </c>
      <c r="B4" s="5"/>
      <c r="C4" s="6"/>
      <c r="D4" s="6"/>
      <c r="E4" s="6"/>
      <c r="F4" s="6"/>
      <c r="G4" s="6"/>
      <c r="H4" s="6"/>
      <c r="I4" s="6"/>
      <c r="J4" s="6"/>
    </row>
    <row r="5" spans="1:12" x14ac:dyDescent="0.2">
      <c r="A5" s="7" t="s">
        <v>0</v>
      </c>
      <c r="B5" s="7"/>
      <c r="C5" s="8" t="s">
        <v>368</v>
      </c>
      <c r="D5" s="9"/>
      <c r="E5" s="9"/>
      <c r="F5" s="9"/>
      <c r="G5" s="10" t="s">
        <v>1</v>
      </c>
      <c r="H5" s="8" t="s">
        <v>2</v>
      </c>
      <c r="I5" s="9"/>
      <c r="J5" s="9"/>
    </row>
    <row r="6" spans="1:12" x14ac:dyDescent="0.2">
      <c r="A6" s="7" t="s">
        <v>3</v>
      </c>
      <c r="B6" s="7"/>
      <c r="C6" s="8" t="s">
        <v>4</v>
      </c>
      <c r="D6" s="9"/>
      <c r="E6" s="9"/>
      <c r="F6" s="9"/>
      <c r="G6" s="10" t="s">
        <v>5</v>
      </c>
      <c r="H6" s="8" t="s">
        <v>6</v>
      </c>
      <c r="I6" s="9"/>
      <c r="J6" s="9"/>
    </row>
    <row r="7" spans="1:12" x14ac:dyDescent="0.2">
      <c r="A7" s="7" t="s">
        <v>7</v>
      </c>
      <c r="B7" s="7"/>
      <c r="C7" s="8" t="s">
        <v>369</v>
      </c>
      <c r="D7" s="9"/>
      <c r="E7" s="9"/>
      <c r="F7" s="9"/>
      <c r="G7" s="10" t="s">
        <v>8</v>
      </c>
      <c r="H7" s="8" t="s">
        <v>305</v>
      </c>
      <c r="I7" s="9"/>
      <c r="J7" s="9"/>
    </row>
    <row r="8" spans="1:12" x14ac:dyDescent="0.2">
      <c r="A8" s="11" t="s">
        <v>29</v>
      </c>
      <c r="B8" s="11"/>
      <c r="C8" s="12"/>
      <c r="D8" s="12"/>
      <c r="E8" s="12"/>
      <c r="F8" s="12"/>
      <c r="G8" s="12"/>
      <c r="H8" s="12"/>
      <c r="I8" s="12"/>
      <c r="J8" s="12"/>
    </row>
    <row r="9" spans="1:12" ht="12.75" x14ac:dyDescent="0.2">
      <c r="A9" s="13" t="s">
        <v>9</v>
      </c>
      <c r="B9" s="13"/>
      <c r="C9" s="14"/>
      <c r="D9" s="14"/>
      <c r="E9" s="14"/>
      <c r="F9" s="14"/>
      <c r="G9" s="14"/>
      <c r="H9" s="14"/>
      <c r="I9" s="14"/>
      <c r="J9" s="14"/>
    </row>
    <row r="10" spans="1:12" x14ac:dyDescent="0.2">
      <c r="A10" s="15" t="s">
        <v>10</v>
      </c>
      <c r="B10" s="15"/>
      <c r="C10" s="16" t="s">
        <v>368</v>
      </c>
    </row>
    <row r="11" spans="1:12" x14ac:dyDescent="0.2">
      <c r="A11" s="15" t="s">
        <v>11</v>
      </c>
      <c r="B11" s="15"/>
      <c r="C11" s="3" t="s">
        <v>12</v>
      </c>
      <c r="G11" s="15"/>
      <c r="I11" s="15" t="s">
        <v>13</v>
      </c>
    </row>
    <row r="12" spans="1:12" x14ac:dyDescent="0.2">
      <c r="A12" s="15" t="s">
        <v>14</v>
      </c>
      <c r="B12" s="15"/>
      <c r="C12" s="16" t="s">
        <v>370</v>
      </c>
      <c r="G12" s="15"/>
      <c r="I12" s="15" t="s">
        <v>15</v>
      </c>
    </row>
    <row r="13" spans="1:12" x14ac:dyDescent="0.2">
      <c r="A13" s="15" t="s">
        <v>16</v>
      </c>
      <c r="B13" s="15"/>
      <c r="C13" s="17">
        <f>J32</f>
        <v>3209731.5071428572</v>
      </c>
      <c r="E13" s="15" t="s">
        <v>17</v>
      </c>
      <c r="F13" s="3" t="s">
        <v>18</v>
      </c>
      <c r="G13" s="15"/>
      <c r="I13" s="15"/>
      <c r="J13" s="18"/>
    </row>
    <row r="14" spans="1:12" x14ac:dyDescent="0.2">
      <c r="A14" s="19" t="s">
        <v>19</v>
      </c>
      <c r="B14" s="20"/>
      <c r="C14" s="21" t="s">
        <v>20</v>
      </c>
      <c r="D14" s="21"/>
      <c r="E14" s="21"/>
      <c r="F14" s="20"/>
      <c r="G14" s="22" t="s">
        <v>21</v>
      </c>
      <c r="H14" s="23" t="s">
        <v>22</v>
      </c>
      <c r="I14" s="23" t="s">
        <v>23</v>
      </c>
      <c r="J14" s="23" t="s">
        <v>24</v>
      </c>
    </row>
    <row r="15" spans="1:12" x14ac:dyDescent="0.2">
      <c r="A15" s="24" t="s">
        <v>25</v>
      </c>
      <c r="B15" s="25"/>
      <c r="C15" s="26"/>
      <c r="D15" s="26"/>
      <c r="E15" s="26"/>
      <c r="F15" s="26"/>
      <c r="G15" s="26"/>
      <c r="H15" s="27"/>
      <c r="I15" s="27"/>
      <c r="J15" s="28"/>
    </row>
    <row r="16" spans="1:12" s="29" customFormat="1" ht="159" customHeight="1" x14ac:dyDescent="0.25">
      <c r="A16" s="55" t="s">
        <v>28</v>
      </c>
      <c r="B16" s="56"/>
      <c r="C16" s="154" t="s">
        <v>371</v>
      </c>
      <c r="D16" s="155"/>
      <c r="E16" s="155"/>
      <c r="F16" s="156"/>
      <c r="G16" s="57" t="s">
        <v>49</v>
      </c>
      <c r="H16" s="58">
        <v>315</v>
      </c>
      <c r="I16" s="59">
        <v>1254</v>
      </c>
      <c r="J16" s="60">
        <f t="shared" ref="J16:J29" si="0">H16*I16</f>
        <v>395010</v>
      </c>
      <c r="L16" s="77"/>
    </row>
    <row r="17" spans="1:10" s="29" customFormat="1" ht="171" customHeight="1" x14ac:dyDescent="0.25">
      <c r="A17" s="55" t="s">
        <v>30</v>
      </c>
      <c r="B17" s="56"/>
      <c r="C17" s="154" t="s">
        <v>372</v>
      </c>
      <c r="D17" s="155"/>
      <c r="E17" s="155"/>
      <c r="F17" s="156"/>
      <c r="G17" s="57" t="s">
        <v>49</v>
      </c>
      <c r="H17" s="58">
        <v>257</v>
      </c>
      <c r="I17" s="59">
        <v>1314.5</v>
      </c>
      <c r="J17" s="60">
        <f t="shared" si="0"/>
        <v>337826.5</v>
      </c>
    </row>
    <row r="18" spans="1:10" s="29" customFormat="1" ht="179.25" customHeight="1" x14ac:dyDescent="0.25">
      <c r="A18" s="55" t="s">
        <v>31</v>
      </c>
      <c r="B18" s="56"/>
      <c r="C18" s="154" t="s">
        <v>373</v>
      </c>
      <c r="D18" s="155"/>
      <c r="E18" s="155"/>
      <c r="F18" s="156"/>
      <c r="G18" s="57" t="s">
        <v>49</v>
      </c>
      <c r="H18" s="58">
        <v>464</v>
      </c>
      <c r="I18" s="59">
        <v>1226.5</v>
      </c>
      <c r="J18" s="60">
        <f t="shared" si="0"/>
        <v>569096</v>
      </c>
    </row>
    <row r="19" spans="1:10" s="29" customFormat="1" ht="213.75" customHeight="1" x14ac:dyDescent="0.25">
      <c r="A19" s="55" t="s">
        <v>32</v>
      </c>
      <c r="B19" s="56"/>
      <c r="C19" s="154" t="s">
        <v>374</v>
      </c>
      <c r="D19" s="155"/>
      <c r="E19" s="155"/>
      <c r="F19" s="156"/>
      <c r="G19" s="57" t="s">
        <v>49</v>
      </c>
      <c r="H19" s="58">
        <v>109</v>
      </c>
      <c r="I19" s="59">
        <v>815</v>
      </c>
      <c r="J19" s="60">
        <f t="shared" ref="J19" si="1">H19*I19</f>
        <v>88835</v>
      </c>
    </row>
    <row r="20" spans="1:10" s="29" customFormat="1" ht="138" customHeight="1" x14ac:dyDescent="0.25">
      <c r="A20" s="55" t="s">
        <v>33</v>
      </c>
      <c r="B20" s="56"/>
      <c r="C20" s="154" t="s">
        <v>375</v>
      </c>
      <c r="D20" s="155"/>
      <c r="E20" s="155"/>
      <c r="F20" s="156"/>
      <c r="G20" s="57" t="s">
        <v>49</v>
      </c>
      <c r="H20" s="58">
        <v>459</v>
      </c>
      <c r="I20" s="59">
        <v>1656.2857142857144</v>
      </c>
      <c r="J20" s="60">
        <f t="shared" si="0"/>
        <v>760235.14285714296</v>
      </c>
    </row>
    <row r="21" spans="1:10" s="29" customFormat="1" ht="139.5" customHeight="1" x14ac:dyDescent="0.25">
      <c r="A21" s="55" t="s">
        <v>37</v>
      </c>
      <c r="B21" s="56"/>
      <c r="C21" s="154" t="s">
        <v>376</v>
      </c>
      <c r="D21" s="155"/>
      <c r="E21" s="155"/>
      <c r="F21" s="156"/>
      <c r="G21" s="57" t="s">
        <v>49</v>
      </c>
      <c r="H21" s="58">
        <v>5</v>
      </c>
      <c r="I21" s="59">
        <v>2159.1428571428542</v>
      </c>
      <c r="J21" s="60">
        <f t="shared" si="0"/>
        <v>10795.714285714272</v>
      </c>
    </row>
    <row r="22" spans="1:10" s="29" customFormat="1" ht="135.75" customHeight="1" x14ac:dyDescent="0.25">
      <c r="A22" s="55" t="s">
        <v>38</v>
      </c>
      <c r="B22" s="56"/>
      <c r="C22" s="154" t="s">
        <v>377</v>
      </c>
      <c r="D22" s="155"/>
      <c r="E22" s="155"/>
      <c r="F22" s="156"/>
      <c r="G22" s="57" t="s">
        <v>49</v>
      </c>
      <c r="H22" s="58">
        <v>2</v>
      </c>
      <c r="I22" s="59">
        <v>875</v>
      </c>
      <c r="J22" s="60">
        <f t="shared" si="0"/>
        <v>1750</v>
      </c>
    </row>
    <row r="23" spans="1:10" s="29" customFormat="1" ht="136.5" customHeight="1" x14ac:dyDescent="0.25">
      <c r="A23" s="55" t="s">
        <v>39</v>
      </c>
      <c r="B23" s="56"/>
      <c r="C23" s="154" t="s">
        <v>378</v>
      </c>
      <c r="D23" s="155"/>
      <c r="E23" s="155"/>
      <c r="F23" s="156"/>
      <c r="G23" s="57" t="s">
        <v>49</v>
      </c>
      <c r="H23" s="58">
        <v>1</v>
      </c>
      <c r="I23" s="59">
        <v>3815</v>
      </c>
      <c r="J23" s="60">
        <f t="shared" si="0"/>
        <v>3815</v>
      </c>
    </row>
    <row r="24" spans="1:10" s="29" customFormat="1" ht="171" customHeight="1" x14ac:dyDescent="0.25">
      <c r="A24" s="55" t="s">
        <v>43</v>
      </c>
      <c r="B24" s="56"/>
      <c r="C24" s="154" t="s">
        <v>379</v>
      </c>
      <c r="D24" s="155"/>
      <c r="E24" s="155"/>
      <c r="F24" s="156"/>
      <c r="G24" s="57" t="s">
        <v>49</v>
      </c>
      <c r="H24" s="58">
        <v>18</v>
      </c>
      <c r="I24" s="59">
        <v>898</v>
      </c>
      <c r="J24" s="60">
        <f t="shared" si="0"/>
        <v>16164</v>
      </c>
    </row>
    <row r="25" spans="1:10" s="29" customFormat="1" ht="135.75" customHeight="1" x14ac:dyDescent="0.25">
      <c r="A25" s="55" t="s">
        <v>44</v>
      </c>
      <c r="B25" s="56"/>
      <c r="C25" s="154" t="s">
        <v>380</v>
      </c>
      <c r="D25" s="155"/>
      <c r="E25" s="155"/>
      <c r="F25" s="156"/>
      <c r="G25" s="57" t="s">
        <v>49</v>
      </c>
      <c r="H25" s="58">
        <v>15</v>
      </c>
      <c r="I25" s="59">
        <v>2337.5</v>
      </c>
      <c r="J25" s="60">
        <f t="shared" si="0"/>
        <v>35062.5</v>
      </c>
    </row>
    <row r="26" spans="1:10" s="29" customFormat="1" ht="170.25" customHeight="1" x14ac:dyDescent="0.25">
      <c r="A26" s="55" t="s">
        <v>50</v>
      </c>
      <c r="B26" s="56"/>
      <c r="C26" s="154" t="s">
        <v>381</v>
      </c>
      <c r="D26" s="155"/>
      <c r="E26" s="155"/>
      <c r="F26" s="156"/>
      <c r="G26" s="57" t="s">
        <v>49</v>
      </c>
      <c r="H26" s="58">
        <v>18</v>
      </c>
      <c r="I26" s="59">
        <v>7463.5000000000009</v>
      </c>
      <c r="J26" s="60">
        <f t="shared" si="0"/>
        <v>134343.00000000003</v>
      </c>
    </row>
    <row r="27" spans="1:10" s="29" customFormat="1" ht="168" customHeight="1" x14ac:dyDescent="0.25">
      <c r="A27" s="55" t="s">
        <v>51</v>
      </c>
      <c r="B27" s="56"/>
      <c r="C27" s="154" t="s">
        <v>382</v>
      </c>
      <c r="D27" s="155"/>
      <c r="E27" s="155"/>
      <c r="F27" s="156"/>
      <c r="G27" s="57" t="s">
        <v>49</v>
      </c>
      <c r="H27" s="58">
        <v>6</v>
      </c>
      <c r="I27" s="59">
        <v>3096.5000000000005</v>
      </c>
      <c r="J27" s="60">
        <f t="shared" ref="J27:J28" si="2">H27*I27</f>
        <v>18579.000000000004</v>
      </c>
    </row>
    <row r="28" spans="1:10" s="29" customFormat="1" ht="178.5" customHeight="1" x14ac:dyDescent="0.25">
      <c r="A28" s="55" t="s">
        <v>52</v>
      </c>
      <c r="B28" s="56"/>
      <c r="C28" s="154" t="s">
        <v>383</v>
      </c>
      <c r="D28" s="155"/>
      <c r="E28" s="155"/>
      <c r="F28" s="156"/>
      <c r="G28" s="57" t="s">
        <v>49</v>
      </c>
      <c r="H28" s="58">
        <v>1</v>
      </c>
      <c r="I28" s="59">
        <v>777012.51</v>
      </c>
      <c r="J28" s="60">
        <f t="shared" si="2"/>
        <v>777012.51</v>
      </c>
    </row>
    <row r="29" spans="1:10" s="29" customFormat="1" ht="126" customHeight="1" x14ac:dyDescent="0.25">
      <c r="A29" s="55" t="s">
        <v>53</v>
      </c>
      <c r="B29" s="56"/>
      <c r="C29" s="154" t="s">
        <v>384</v>
      </c>
      <c r="D29" s="155"/>
      <c r="E29" s="155"/>
      <c r="F29" s="156"/>
      <c r="G29" s="57" t="s">
        <v>49</v>
      </c>
      <c r="H29" s="58">
        <v>1</v>
      </c>
      <c r="I29" s="59">
        <v>61207.14</v>
      </c>
      <c r="J29" s="60">
        <f t="shared" si="0"/>
        <v>61207.14</v>
      </c>
    </row>
    <row r="30" spans="1:10" s="29" customFormat="1" ht="12" thickBot="1" x14ac:dyDescent="0.3">
      <c r="A30" s="30"/>
      <c r="B30" s="31"/>
      <c r="C30" s="162"/>
      <c r="D30" s="162"/>
      <c r="E30" s="162"/>
      <c r="F30" s="162"/>
      <c r="G30" s="32"/>
      <c r="H30" s="33"/>
      <c r="I30" s="34" t="s">
        <v>26</v>
      </c>
      <c r="J30" s="35">
        <f>SUM(J14:J29)</f>
        <v>3209731.5071428572</v>
      </c>
    </row>
    <row r="31" spans="1:10" x14ac:dyDescent="0.2">
      <c r="A31" s="39"/>
      <c r="B31" s="40"/>
      <c r="C31" s="40"/>
      <c r="D31" s="40"/>
      <c r="E31" s="40"/>
      <c r="F31" s="41"/>
      <c r="G31" s="48"/>
      <c r="H31" s="49"/>
      <c r="I31" s="50"/>
      <c r="J31" s="36"/>
    </row>
    <row r="32" spans="1:10" x14ac:dyDescent="0.2">
      <c r="A32" s="42" t="s">
        <v>27</v>
      </c>
      <c r="B32" s="21"/>
      <c r="C32" s="43"/>
      <c r="D32" s="43"/>
      <c r="E32" s="43"/>
      <c r="F32" s="44"/>
      <c r="G32" s="51"/>
      <c r="H32" s="52"/>
      <c r="I32" s="53"/>
      <c r="J32" s="37">
        <f>J30</f>
        <v>3209731.5071428572</v>
      </c>
    </row>
    <row r="33" spans="1:10" ht="12" thickBot="1" x14ac:dyDescent="0.25">
      <c r="A33" s="45"/>
      <c r="B33" s="46"/>
      <c r="C33" s="46"/>
      <c r="D33" s="46"/>
      <c r="E33" s="46"/>
      <c r="F33" s="47"/>
      <c r="G33" s="54"/>
      <c r="H33" s="46"/>
      <c r="I33" s="47"/>
      <c r="J33" s="38"/>
    </row>
  </sheetData>
  <mergeCells count="15">
    <mergeCell ref="C21:F21"/>
    <mergeCell ref="C16:F16"/>
    <mergeCell ref="C17:F17"/>
    <mergeCell ref="C18:F18"/>
    <mergeCell ref="C19:F19"/>
    <mergeCell ref="C20:F20"/>
    <mergeCell ref="C28:F28"/>
    <mergeCell ref="C29:F29"/>
    <mergeCell ref="C30:F30"/>
    <mergeCell ref="C22:F22"/>
    <mergeCell ref="C23:F23"/>
    <mergeCell ref="C24:F24"/>
    <mergeCell ref="C25:F25"/>
    <mergeCell ref="C26:F26"/>
    <mergeCell ref="C27:F27"/>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tabSelected="1" zoomScale="85" zoomScaleNormal="85" workbookViewId="0">
      <selection activeCell="B13" sqref="B13:E13"/>
    </sheetView>
  </sheetViews>
  <sheetFormatPr baseColWidth="10" defaultRowHeight="15" x14ac:dyDescent="0.25"/>
  <cols>
    <col min="2" max="2" width="14.140625" customWidth="1"/>
    <col min="3" max="3" width="13.42578125" customWidth="1"/>
    <col min="5" max="5" width="15.140625" customWidth="1"/>
  </cols>
  <sheetData>
    <row r="2" spans="1:10" s="3" customFormat="1" ht="11.25" x14ac:dyDescent="0.2">
      <c r="A2" s="7" t="s">
        <v>0</v>
      </c>
      <c r="B2" s="8" t="s">
        <v>484</v>
      </c>
      <c r="C2" s="9"/>
      <c r="D2" s="9"/>
      <c r="E2" s="9"/>
      <c r="F2" s="10" t="s">
        <v>1</v>
      </c>
      <c r="G2" s="8" t="s">
        <v>2</v>
      </c>
      <c r="H2" s="9"/>
      <c r="I2" s="9"/>
      <c r="J2" s="97"/>
    </row>
    <row r="3" spans="1:10" s="3" customFormat="1" ht="11.25" x14ac:dyDescent="0.2">
      <c r="A3" s="7" t="s">
        <v>3</v>
      </c>
      <c r="B3" s="8" t="s">
        <v>317</v>
      </c>
      <c r="C3" s="9"/>
      <c r="D3" s="9"/>
      <c r="E3" s="9"/>
      <c r="F3" s="10" t="s">
        <v>5</v>
      </c>
      <c r="G3" s="8"/>
      <c r="H3" s="9"/>
      <c r="I3" s="9"/>
      <c r="J3" s="97"/>
    </row>
    <row r="4" spans="1:10" s="3" customFormat="1" ht="11.25" x14ac:dyDescent="0.2">
      <c r="A4" s="7" t="s">
        <v>7</v>
      </c>
      <c r="B4" s="8"/>
      <c r="C4" s="9"/>
      <c r="D4" s="9"/>
      <c r="E4" s="9"/>
      <c r="F4" s="10" t="s">
        <v>8</v>
      </c>
      <c r="G4" s="8"/>
      <c r="H4" s="9"/>
      <c r="I4" s="9"/>
      <c r="J4" s="97"/>
    </row>
    <row r="5" spans="1:10" s="3" customFormat="1" ht="11.25" x14ac:dyDescent="0.2">
      <c r="A5" s="11" t="s">
        <v>485</v>
      </c>
      <c r="B5" s="12"/>
      <c r="C5" s="12"/>
      <c r="D5" s="12"/>
      <c r="E5" s="12"/>
      <c r="F5" s="12"/>
      <c r="G5" s="12"/>
      <c r="H5" s="12"/>
      <c r="I5" s="12"/>
      <c r="J5" s="97"/>
    </row>
    <row r="6" spans="1:10" s="3" customFormat="1" ht="15" customHeight="1" x14ac:dyDescent="0.2">
      <c r="A6" s="13" t="s">
        <v>9</v>
      </c>
      <c r="B6" s="14"/>
      <c r="C6" s="14"/>
      <c r="D6" s="14"/>
      <c r="E6" s="14"/>
      <c r="F6" s="14"/>
      <c r="G6" s="14"/>
      <c r="H6" s="14"/>
      <c r="I6" s="14"/>
      <c r="J6" s="97"/>
    </row>
    <row r="7" spans="1:10" s="3" customFormat="1" ht="10.15" customHeight="1" x14ac:dyDescent="0.2">
      <c r="A7" s="15"/>
      <c r="B7" s="17"/>
      <c r="D7" s="15"/>
      <c r="F7" s="15"/>
      <c r="H7" s="15"/>
      <c r="I7" s="18"/>
      <c r="J7" s="97"/>
    </row>
    <row r="8" spans="1:10" s="3" customFormat="1" ht="11.25" x14ac:dyDescent="0.2">
      <c r="A8" s="19" t="s">
        <v>19</v>
      </c>
      <c r="B8" s="21" t="s">
        <v>20</v>
      </c>
      <c r="C8" s="21"/>
      <c r="D8" s="21"/>
      <c r="E8" s="20"/>
      <c r="F8" s="22" t="s">
        <v>21</v>
      </c>
      <c r="G8" s="23" t="s">
        <v>22</v>
      </c>
      <c r="H8" s="23" t="s">
        <v>23</v>
      </c>
      <c r="I8" s="23" t="s">
        <v>24</v>
      </c>
      <c r="J8" s="97"/>
    </row>
    <row r="9" spans="1:10" s="3" customFormat="1" ht="11.25" x14ac:dyDescent="0.2">
      <c r="A9" s="24" t="s">
        <v>25</v>
      </c>
      <c r="B9" s="26"/>
      <c r="C9" s="26"/>
      <c r="D9" s="26"/>
      <c r="E9" s="26"/>
      <c r="F9" s="26"/>
      <c r="G9" s="27"/>
      <c r="H9" s="27"/>
      <c r="I9" s="28"/>
      <c r="J9" s="97"/>
    </row>
    <row r="10" spans="1:10" s="29" customFormat="1" ht="12.75" x14ac:dyDescent="0.25">
      <c r="A10" s="55" t="s">
        <v>28</v>
      </c>
      <c r="B10" s="158" t="s">
        <v>470</v>
      </c>
      <c r="C10" s="158"/>
      <c r="D10" s="158"/>
      <c r="E10" s="158"/>
      <c r="F10" s="57"/>
      <c r="G10" s="145"/>
      <c r="H10" s="119"/>
      <c r="I10" s="60"/>
      <c r="J10" s="77"/>
    </row>
    <row r="11" spans="1:10" s="29" customFormat="1" ht="11.25" x14ac:dyDescent="0.25">
      <c r="A11" s="55"/>
      <c r="B11" s="158" t="s">
        <v>471</v>
      </c>
      <c r="C11" s="158"/>
      <c r="D11" s="158"/>
      <c r="E11" s="158"/>
      <c r="F11" s="57" t="s">
        <v>46</v>
      </c>
      <c r="G11" s="194">
        <v>8</v>
      </c>
      <c r="H11" s="34"/>
      <c r="I11" s="60"/>
      <c r="J11" s="77"/>
    </row>
    <row r="12" spans="1:10" s="29" customFormat="1" ht="12.75" x14ac:dyDescent="0.25">
      <c r="A12" s="55" t="s">
        <v>30</v>
      </c>
      <c r="B12" s="158" t="s">
        <v>467</v>
      </c>
      <c r="C12" s="158"/>
      <c r="D12" s="158"/>
      <c r="E12" s="158"/>
      <c r="F12" s="57" t="s">
        <v>46</v>
      </c>
      <c r="G12" s="194">
        <v>24</v>
      </c>
      <c r="H12" s="146"/>
      <c r="I12" s="60"/>
    </row>
    <row r="13" spans="1:10" s="29" customFormat="1" x14ac:dyDescent="0.25">
      <c r="A13" s="55" t="s">
        <v>31</v>
      </c>
      <c r="B13" s="186" t="s">
        <v>468</v>
      </c>
      <c r="C13" s="192"/>
      <c r="D13" s="192"/>
      <c r="E13" s="193"/>
      <c r="F13" s="57"/>
      <c r="G13" s="194"/>
      <c r="H13" s="146"/>
      <c r="I13" s="60"/>
    </row>
    <row r="14" spans="1:10" s="29" customFormat="1" ht="12.75" x14ac:dyDescent="0.25">
      <c r="A14" s="55"/>
      <c r="B14" s="186" t="s">
        <v>469</v>
      </c>
      <c r="C14" s="187"/>
      <c r="D14" s="187"/>
      <c r="E14" s="188"/>
      <c r="F14" s="57" t="s">
        <v>46</v>
      </c>
      <c r="G14" s="194">
        <v>26</v>
      </c>
      <c r="H14" s="146"/>
      <c r="I14" s="60"/>
    </row>
    <row r="15" spans="1:10" s="29" customFormat="1" ht="12.75" x14ac:dyDescent="0.25">
      <c r="A15" s="55" t="s">
        <v>32</v>
      </c>
      <c r="B15" s="158" t="s">
        <v>472</v>
      </c>
      <c r="C15" s="158"/>
      <c r="D15" s="158"/>
      <c r="E15" s="158"/>
      <c r="F15" s="57" t="s">
        <v>49</v>
      </c>
      <c r="G15" s="194">
        <v>3</v>
      </c>
      <c r="H15" s="147"/>
      <c r="I15" s="60"/>
    </row>
    <row r="16" spans="1:10" s="29" customFormat="1" ht="11.25" x14ac:dyDescent="0.25">
      <c r="A16" s="55" t="s">
        <v>33</v>
      </c>
      <c r="B16" s="189" t="s">
        <v>473</v>
      </c>
      <c r="C16" s="190"/>
      <c r="D16" s="190"/>
      <c r="E16" s="191"/>
      <c r="F16" s="57"/>
      <c r="G16" s="194"/>
      <c r="H16" s="144"/>
      <c r="I16" s="60"/>
    </row>
    <row r="17" spans="1:10" s="29" customFormat="1" ht="11.25" x14ac:dyDescent="0.25">
      <c r="A17" s="55"/>
      <c r="B17" s="186" t="s">
        <v>474</v>
      </c>
      <c r="C17" s="187"/>
      <c r="D17" s="187"/>
      <c r="E17" s="188"/>
      <c r="F17" s="57" t="s">
        <v>46</v>
      </c>
      <c r="G17" s="194">
        <v>106</v>
      </c>
      <c r="H17" s="144"/>
      <c r="I17" s="60"/>
    </row>
    <row r="18" spans="1:10" s="29" customFormat="1" ht="12.75" x14ac:dyDescent="0.25">
      <c r="A18" s="55" t="s">
        <v>37</v>
      </c>
      <c r="B18" s="198" t="s">
        <v>476</v>
      </c>
      <c r="C18" s="199"/>
      <c r="D18" s="199"/>
      <c r="E18" s="200"/>
      <c r="F18" s="57"/>
      <c r="G18" s="195"/>
      <c r="H18" s="67"/>
      <c r="I18" s="60"/>
    </row>
    <row r="19" spans="1:10" s="29" customFormat="1" ht="12.75" x14ac:dyDescent="0.25">
      <c r="A19" s="55"/>
      <c r="B19" s="189" t="s">
        <v>475</v>
      </c>
      <c r="C19" s="190"/>
      <c r="D19" s="190"/>
      <c r="E19" s="191"/>
      <c r="F19" s="57" t="s">
        <v>46</v>
      </c>
      <c r="G19" s="195">
        <v>5</v>
      </c>
      <c r="H19" s="67"/>
      <c r="I19" s="60"/>
    </row>
    <row r="20" spans="1:10" s="29" customFormat="1" ht="12.75" x14ac:dyDescent="0.25">
      <c r="A20" s="55" t="s">
        <v>38</v>
      </c>
      <c r="B20" s="158" t="s">
        <v>486</v>
      </c>
      <c r="C20" s="158"/>
      <c r="D20" s="158"/>
      <c r="E20" s="158"/>
      <c r="F20" s="57" t="s">
        <v>49</v>
      </c>
      <c r="G20" s="194">
        <v>3</v>
      </c>
      <c r="H20" s="67"/>
      <c r="I20" s="60"/>
    </row>
    <row r="21" spans="1:10" s="29" customFormat="1" ht="12.75" x14ac:dyDescent="0.25">
      <c r="A21" s="55" t="s">
        <v>39</v>
      </c>
      <c r="B21" s="158" t="s">
        <v>477</v>
      </c>
      <c r="C21" s="158"/>
      <c r="D21" s="158"/>
      <c r="E21" s="158"/>
      <c r="F21" s="57" t="s">
        <v>49</v>
      </c>
      <c r="G21" s="194">
        <v>1</v>
      </c>
      <c r="H21" s="67"/>
      <c r="I21" s="60"/>
    </row>
    <row r="22" spans="1:10" s="29" customFormat="1" ht="12.75" x14ac:dyDescent="0.25">
      <c r="A22" s="55" t="s">
        <v>40</v>
      </c>
      <c r="B22" s="158" t="s">
        <v>478</v>
      </c>
      <c r="C22" s="158"/>
      <c r="D22" s="158"/>
      <c r="E22" s="158"/>
      <c r="F22" s="57" t="s">
        <v>49</v>
      </c>
      <c r="G22" s="195">
        <v>1</v>
      </c>
      <c r="H22" s="67"/>
      <c r="I22" s="60"/>
      <c r="J22" s="77"/>
    </row>
    <row r="23" spans="1:10" s="29" customFormat="1" ht="12.75" x14ac:dyDescent="0.25">
      <c r="A23" s="30" t="s">
        <v>41</v>
      </c>
      <c r="B23" s="154" t="s">
        <v>480</v>
      </c>
      <c r="C23" s="155"/>
      <c r="D23" s="155"/>
      <c r="E23" s="156"/>
      <c r="F23" s="32" t="s">
        <v>479</v>
      </c>
      <c r="G23" s="196">
        <v>1</v>
      </c>
      <c r="H23" s="130"/>
      <c r="I23" s="35"/>
      <c r="J23" s="77"/>
    </row>
    <row r="24" spans="1:10" s="29" customFormat="1" ht="12.75" x14ac:dyDescent="0.25">
      <c r="A24" s="55" t="s">
        <v>42</v>
      </c>
      <c r="B24" s="158" t="s">
        <v>481</v>
      </c>
      <c r="C24" s="158"/>
      <c r="D24" s="158"/>
      <c r="E24" s="158"/>
      <c r="F24" s="32"/>
      <c r="G24" s="197"/>
      <c r="H24" s="130"/>
      <c r="I24" s="35"/>
      <c r="J24" s="77"/>
    </row>
    <row r="25" spans="1:10" s="29" customFormat="1" ht="12.75" x14ac:dyDescent="0.25">
      <c r="A25" s="30"/>
      <c r="B25" s="158" t="s">
        <v>482</v>
      </c>
      <c r="C25" s="158"/>
      <c r="D25" s="158"/>
      <c r="E25" s="158"/>
      <c r="F25" s="32" t="s">
        <v>46</v>
      </c>
      <c r="G25" s="197">
        <v>1.5</v>
      </c>
      <c r="H25" s="130"/>
      <c r="I25" s="35"/>
      <c r="J25" s="77"/>
    </row>
    <row r="26" spans="1:10" s="29" customFormat="1" ht="11.25" x14ac:dyDescent="0.25">
      <c r="A26" s="30" t="s">
        <v>43</v>
      </c>
      <c r="B26" s="158" t="s">
        <v>483</v>
      </c>
      <c r="C26" s="158"/>
      <c r="D26" s="158"/>
      <c r="E26" s="158"/>
      <c r="F26" s="32"/>
      <c r="G26" s="197"/>
      <c r="H26" s="34"/>
      <c r="I26" s="35"/>
    </row>
    <row r="27" spans="1:10" s="29" customFormat="1" ht="11.25" x14ac:dyDescent="0.25">
      <c r="A27" s="30"/>
      <c r="B27" s="158" t="s">
        <v>482</v>
      </c>
      <c r="C27" s="158"/>
      <c r="D27" s="158"/>
      <c r="E27" s="158"/>
      <c r="F27" s="32" t="s">
        <v>46</v>
      </c>
      <c r="G27" s="197">
        <v>1.5</v>
      </c>
      <c r="H27" s="34"/>
      <c r="I27" s="35"/>
    </row>
    <row r="28" spans="1:10" s="29" customFormat="1" ht="12" thickBot="1" x14ac:dyDescent="0.3">
      <c r="A28" s="30"/>
      <c r="B28" s="183"/>
      <c r="C28" s="184"/>
      <c r="D28" s="184"/>
      <c r="E28" s="185"/>
      <c r="F28" s="32"/>
      <c r="G28" s="33"/>
      <c r="H28" s="34" t="s">
        <v>26</v>
      </c>
      <c r="I28" s="35">
        <f>SUM(I10:I26)</f>
        <v>0</v>
      </c>
      <c r="J28" s="77"/>
    </row>
    <row r="29" spans="1:10" s="3" customFormat="1" ht="11.25" x14ac:dyDescent="0.2">
      <c r="A29" s="39"/>
      <c r="B29" s="40"/>
      <c r="C29" s="40"/>
      <c r="D29" s="40"/>
      <c r="E29" s="41"/>
      <c r="F29" s="48"/>
      <c r="G29" s="49"/>
      <c r="H29" s="50"/>
      <c r="I29" s="36"/>
      <c r="J29" s="97"/>
    </row>
    <row r="30" spans="1:10" s="3" customFormat="1" ht="11.25" x14ac:dyDescent="0.2">
      <c r="A30" s="42" t="s">
        <v>27</v>
      </c>
      <c r="B30" s="43"/>
      <c r="C30" s="43"/>
      <c r="D30" s="43"/>
      <c r="E30" s="44"/>
      <c r="F30" s="51"/>
      <c r="G30" s="52"/>
      <c r="H30" s="53"/>
      <c r="I30" s="37">
        <f>I28</f>
        <v>0</v>
      </c>
      <c r="J30" s="97"/>
    </row>
    <row r="31" spans="1:10" s="3" customFormat="1" ht="12" thickBot="1" x14ac:dyDescent="0.25">
      <c r="A31" s="45"/>
      <c r="B31" s="46"/>
      <c r="C31" s="46"/>
      <c r="D31" s="46"/>
      <c r="E31" s="47"/>
      <c r="F31" s="54"/>
      <c r="G31" s="46"/>
      <c r="H31" s="47"/>
      <c r="I31" s="38"/>
    </row>
    <row r="32" spans="1:10" s="3" customFormat="1" ht="11.25" x14ac:dyDescent="0.2"/>
    <row r="33" s="3" customFormat="1" ht="11.25" x14ac:dyDescent="0.2"/>
    <row r="34" s="3" customFormat="1" ht="11.25" x14ac:dyDescent="0.2"/>
    <row r="35" s="3" customFormat="1" ht="11.25" x14ac:dyDescent="0.2"/>
    <row r="36" s="3" customFormat="1" ht="11.25" x14ac:dyDescent="0.2"/>
    <row r="37" s="3" customFormat="1" ht="11.25" x14ac:dyDescent="0.2"/>
  </sheetData>
  <mergeCells count="19">
    <mergeCell ref="B21:E21"/>
    <mergeCell ref="B10:E10"/>
    <mergeCell ref="B11:E11"/>
    <mergeCell ref="B12:E12"/>
    <mergeCell ref="B13:E13"/>
    <mergeCell ref="B14:E14"/>
    <mergeCell ref="B15:E15"/>
    <mergeCell ref="B16:E16"/>
    <mergeCell ref="B17:E17"/>
    <mergeCell ref="B18:E18"/>
    <mergeCell ref="B19:E19"/>
    <mergeCell ref="B20:E20"/>
    <mergeCell ref="B28:E28"/>
    <mergeCell ref="B22:E22"/>
    <mergeCell ref="B23:E23"/>
    <mergeCell ref="B24:E24"/>
    <mergeCell ref="B25:E25"/>
    <mergeCell ref="B26:E26"/>
    <mergeCell ref="B27: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view="pageBreakPreview" topLeftCell="A52" zoomScale="90" zoomScaleNormal="100" zoomScaleSheetLayoutView="90" workbookViewId="0">
      <selection activeCell="G20" sqref="G20"/>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0" ht="21" customHeight="1" x14ac:dyDescent="0.25">
      <c r="A1" s="115" t="s">
        <v>461</v>
      </c>
      <c r="B1" s="2"/>
      <c r="C1" s="2"/>
      <c r="D1" s="2"/>
      <c r="E1" s="2"/>
      <c r="F1" s="2"/>
      <c r="G1" s="2"/>
      <c r="H1" s="2"/>
      <c r="I1" s="2"/>
      <c r="J1" s="97"/>
    </row>
    <row r="2" spans="1:10" ht="4.5" customHeight="1" x14ac:dyDescent="0.25">
      <c r="A2" s="116"/>
      <c r="B2" s="2"/>
      <c r="C2" s="2"/>
      <c r="D2" s="2"/>
      <c r="E2" s="2"/>
      <c r="F2" s="2"/>
      <c r="G2" s="2"/>
      <c r="H2" s="2"/>
      <c r="I2" s="2"/>
      <c r="J2" s="97"/>
    </row>
    <row r="3" spans="1:10" ht="14.25" x14ac:dyDescent="0.2">
      <c r="A3" s="117" t="s">
        <v>462</v>
      </c>
      <c r="B3" s="6"/>
      <c r="C3" s="6"/>
      <c r="D3" s="6"/>
      <c r="E3" s="6"/>
      <c r="F3" s="6"/>
      <c r="G3" s="6"/>
      <c r="H3" s="6"/>
      <c r="I3" s="6"/>
      <c r="J3" s="97"/>
    </row>
    <row r="4" spans="1:10" ht="15" x14ac:dyDescent="0.2">
      <c r="A4" s="5" t="s">
        <v>463</v>
      </c>
      <c r="B4" s="6"/>
      <c r="C4" s="6"/>
      <c r="D4" s="6"/>
      <c r="E4" s="6"/>
      <c r="F4" s="6"/>
      <c r="G4" s="6"/>
      <c r="H4" s="6"/>
      <c r="I4" s="6"/>
      <c r="J4" s="97"/>
    </row>
    <row r="5" spans="1:10" ht="6.75" customHeight="1" x14ac:dyDescent="0.35">
      <c r="A5" s="1"/>
      <c r="B5" s="1"/>
      <c r="C5" s="2"/>
      <c r="D5" s="2"/>
      <c r="E5" s="2"/>
      <c r="F5" s="2"/>
      <c r="G5" s="2"/>
      <c r="H5" s="2"/>
      <c r="I5" s="2"/>
      <c r="J5" s="2"/>
    </row>
    <row r="6" spans="1:10" x14ac:dyDescent="0.2">
      <c r="A6" s="7" t="s">
        <v>0</v>
      </c>
      <c r="B6" s="7"/>
      <c r="C6" s="8" t="s">
        <v>225</v>
      </c>
      <c r="D6" s="9"/>
      <c r="E6" s="9"/>
      <c r="F6" s="9"/>
      <c r="G6" s="10" t="s">
        <v>1</v>
      </c>
      <c r="H6" s="8" t="s">
        <v>2</v>
      </c>
      <c r="I6" s="9"/>
      <c r="J6" s="9"/>
    </row>
    <row r="7" spans="1:10" x14ac:dyDescent="0.2">
      <c r="A7" s="7" t="s">
        <v>3</v>
      </c>
      <c r="B7" s="7"/>
      <c r="C7" s="8" t="s">
        <v>4</v>
      </c>
      <c r="D7" s="9"/>
      <c r="E7" s="9"/>
      <c r="F7" s="9"/>
      <c r="G7" s="10" t="s">
        <v>5</v>
      </c>
      <c r="H7" s="8" t="s">
        <v>6</v>
      </c>
      <c r="I7" s="9"/>
      <c r="J7" s="9"/>
    </row>
    <row r="8" spans="1:10" x14ac:dyDescent="0.2">
      <c r="A8" s="7" t="s">
        <v>7</v>
      </c>
      <c r="B8" s="7"/>
      <c r="C8" s="8" t="s">
        <v>36</v>
      </c>
      <c r="D8" s="9"/>
      <c r="E8" s="9"/>
      <c r="F8" s="9"/>
      <c r="G8" s="10" t="s">
        <v>8</v>
      </c>
      <c r="H8" s="8" t="s">
        <v>36</v>
      </c>
      <c r="I8" s="9"/>
      <c r="J8" s="9"/>
    </row>
    <row r="9" spans="1:10" x14ac:dyDescent="0.2">
      <c r="A9" s="11" t="s">
        <v>29</v>
      </c>
      <c r="B9" s="11"/>
      <c r="C9" s="12"/>
      <c r="D9" s="12"/>
      <c r="E9" s="12"/>
      <c r="F9" s="12"/>
      <c r="G9" s="12"/>
      <c r="H9" s="12"/>
      <c r="I9" s="12"/>
      <c r="J9" s="12"/>
    </row>
    <row r="10" spans="1:10" ht="12.75" x14ac:dyDescent="0.2">
      <c r="A10" s="13" t="s">
        <v>9</v>
      </c>
      <c r="B10" s="13"/>
      <c r="C10" s="14"/>
      <c r="D10" s="14"/>
      <c r="E10" s="14"/>
      <c r="F10" s="14"/>
      <c r="G10" s="14"/>
      <c r="H10" s="14"/>
      <c r="I10" s="14"/>
      <c r="J10" s="14"/>
    </row>
    <row r="11" spans="1:10" x14ac:dyDescent="0.2">
      <c r="A11" s="15" t="s">
        <v>10</v>
      </c>
      <c r="B11" s="15"/>
      <c r="C11" s="16" t="s">
        <v>226</v>
      </c>
    </row>
    <row r="12" spans="1:10" x14ac:dyDescent="0.2">
      <c r="A12" s="15" t="s">
        <v>11</v>
      </c>
      <c r="B12" s="15"/>
      <c r="C12" s="3" t="s">
        <v>12</v>
      </c>
      <c r="G12" s="15"/>
      <c r="I12" s="15" t="s">
        <v>13</v>
      </c>
    </row>
    <row r="13" spans="1:10" x14ac:dyDescent="0.2">
      <c r="A13" s="15" t="s">
        <v>14</v>
      </c>
      <c r="B13" s="15"/>
      <c r="C13" s="16" t="s">
        <v>227</v>
      </c>
      <c r="G13" s="15"/>
      <c r="I13" s="15" t="s">
        <v>15</v>
      </c>
    </row>
    <row r="14" spans="1:10" x14ac:dyDescent="0.2">
      <c r="A14" s="15" t="s">
        <v>16</v>
      </c>
      <c r="B14" s="15"/>
      <c r="C14" s="17">
        <f>J61</f>
        <v>916648.83822342905</v>
      </c>
      <c r="E14" s="15" t="s">
        <v>17</v>
      </c>
      <c r="F14" s="3" t="s">
        <v>18</v>
      </c>
      <c r="G14" s="15"/>
      <c r="I14" s="15"/>
      <c r="J14" s="18"/>
    </row>
    <row r="15" spans="1:10" x14ac:dyDescent="0.2">
      <c r="A15" s="19" t="s">
        <v>19</v>
      </c>
      <c r="B15" s="20"/>
      <c r="C15" s="21" t="s">
        <v>20</v>
      </c>
      <c r="D15" s="21"/>
      <c r="E15" s="21"/>
      <c r="F15" s="20"/>
      <c r="G15" s="22" t="s">
        <v>21</v>
      </c>
      <c r="H15" s="23" t="s">
        <v>22</v>
      </c>
      <c r="I15" s="23" t="s">
        <v>23</v>
      </c>
      <c r="J15" s="23" t="s">
        <v>24</v>
      </c>
    </row>
    <row r="16" spans="1:10" x14ac:dyDescent="0.2">
      <c r="A16" s="24" t="s">
        <v>25</v>
      </c>
      <c r="B16" s="25"/>
      <c r="C16" s="26"/>
      <c r="D16" s="26"/>
      <c r="E16" s="26"/>
      <c r="F16" s="26"/>
      <c r="G16" s="26"/>
      <c r="H16" s="27"/>
      <c r="I16" s="27"/>
      <c r="J16" s="28"/>
    </row>
    <row r="17" spans="1:10" s="29" customFormat="1" ht="102" customHeight="1" x14ac:dyDescent="0.25">
      <c r="A17" s="55" t="s">
        <v>28</v>
      </c>
      <c r="B17" s="56"/>
      <c r="C17" s="157" t="s">
        <v>228</v>
      </c>
      <c r="D17" s="158"/>
      <c r="E17" s="158"/>
      <c r="F17" s="158"/>
      <c r="G17" s="57" t="s">
        <v>46</v>
      </c>
      <c r="H17" s="58">
        <v>697.32</v>
      </c>
      <c r="I17" s="59">
        <v>24.32</v>
      </c>
      <c r="J17" s="60">
        <f t="shared" ref="J17:J23" si="0">I17*H17</f>
        <v>16958.822400000001</v>
      </c>
    </row>
    <row r="18" spans="1:10" s="29" customFormat="1" ht="126.75" customHeight="1" x14ac:dyDescent="0.25">
      <c r="A18" s="55" t="s">
        <v>30</v>
      </c>
      <c r="B18" s="56"/>
      <c r="C18" s="157" t="s">
        <v>229</v>
      </c>
      <c r="D18" s="158"/>
      <c r="E18" s="158"/>
      <c r="F18" s="158"/>
      <c r="G18" s="57" t="s">
        <v>46</v>
      </c>
      <c r="H18" s="58">
        <v>859.2</v>
      </c>
      <c r="I18" s="59">
        <v>20.350000000000001</v>
      </c>
      <c r="J18" s="60">
        <f t="shared" si="0"/>
        <v>17484.72</v>
      </c>
    </row>
    <row r="19" spans="1:10" s="29" customFormat="1" ht="135" customHeight="1" x14ac:dyDescent="0.25">
      <c r="A19" s="55" t="s">
        <v>31</v>
      </c>
      <c r="B19" s="56"/>
      <c r="C19" s="157" t="s">
        <v>230</v>
      </c>
      <c r="D19" s="158"/>
      <c r="E19" s="158"/>
      <c r="F19" s="158"/>
      <c r="G19" s="57" t="s">
        <v>46</v>
      </c>
      <c r="H19" s="58">
        <v>2.87</v>
      </c>
      <c r="I19" s="59">
        <v>325</v>
      </c>
      <c r="J19" s="60">
        <f t="shared" si="0"/>
        <v>932.75</v>
      </c>
    </row>
    <row r="20" spans="1:10" s="29" customFormat="1" ht="112.5" customHeight="1" x14ac:dyDescent="0.25">
      <c r="A20" s="55" t="s">
        <v>32</v>
      </c>
      <c r="B20" s="56"/>
      <c r="C20" s="158" t="s">
        <v>231</v>
      </c>
      <c r="D20" s="158"/>
      <c r="E20" s="158"/>
      <c r="F20" s="158"/>
      <c r="G20" s="57" t="s">
        <v>46</v>
      </c>
      <c r="H20" s="58">
        <v>1.98</v>
      </c>
      <c r="I20" s="59">
        <v>385</v>
      </c>
      <c r="J20" s="60">
        <f t="shared" si="0"/>
        <v>762.3</v>
      </c>
    </row>
    <row r="21" spans="1:10" s="29" customFormat="1" ht="135" customHeight="1" x14ac:dyDescent="0.25">
      <c r="A21" s="55" t="s">
        <v>33</v>
      </c>
      <c r="B21" s="56"/>
      <c r="C21" s="157" t="s">
        <v>232</v>
      </c>
      <c r="D21" s="158"/>
      <c r="E21" s="158"/>
      <c r="F21" s="158"/>
      <c r="G21" s="57" t="s">
        <v>233</v>
      </c>
      <c r="H21" s="58">
        <v>6</v>
      </c>
      <c r="I21" s="59">
        <v>85.3</v>
      </c>
      <c r="J21" s="60">
        <f t="shared" si="0"/>
        <v>511.79999999999995</v>
      </c>
    </row>
    <row r="22" spans="1:10" s="29" customFormat="1" ht="102" customHeight="1" x14ac:dyDescent="0.25">
      <c r="A22" s="55" t="s">
        <v>37</v>
      </c>
      <c r="B22" s="56"/>
      <c r="C22" s="158" t="s">
        <v>234</v>
      </c>
      <c r="D22" s="158"/>
      <c r="E22" s="158"/>
      <c r="F22" s="158"/>
      <c r="G22" s="57" t="s">
        <v>46</v>
      </c>
      <c r="H22" s="58">
        <v>4.45</v>
      </c>
      <c r="I22" s="59">
        <v>65</v>
      </c>
      <c r="J22" s="60">
        <f t="shared" si="0"/>
        <v>289.25</v>
      </c>
    </row>
    <row r="23" spans="1:10" s="29" customFormat="1" ht="57" customHeight="1" x14ac:dyDescent="0.25">
      <c r="A23" s="55" t="s">
        <v>38</v>
      </c>
      <c r="B23" s="56"/>
      <c r="C23" s="158" t="s">
        <v>235</v>
      </c>
      <c r="D23" s="158"/>
      <c r="E23" s="158"/>
      <c r="F23" s="158"/>
      <c r="G23" s="57" t="s">
        <v>47</v>
      </c>
      <c r="H23" s="58">
        <v>2.52</v>
      </c>
      <c r="I23" s="59">
        <v>495</v>
      </c>
      <c r="J23" s="60">
        <f t="shared" si="0"/>
        <v>1247.4000000000001</v>
      </c>
    </row>
    <row r="24" spans="1:10" s="29" customFormat="1" ht="127.5" customHeight="1" x14ac:dyDescent="0.25">
      <c r="A24" s="55" t="s">
        <v>39</v>
      </c>
      <c r="B24" s="68"/>
      <c r="C24" s="158" t="s">
        <v>236</v>
      </c>
      <c r="D24" s="158"/>
      <c r="E24" s="158"/>
      <c r="F24" s="158"/>
      <c r="G24" s="57" t="s">
        <v>49</v>
      </c>
      <c r="H24" s="58">
        <v>2</v>
      </c>
      <c r="I24" s="67">
        <f>6935/0.6</f>
        <v>11558.333333333334</v>
      </c>
      <c r="J24" s="60">
        <f t="shared" ref="J24:J26" si="1">H24*I24</f>
        <v>23116.666666666668</v>
      </c>
    </row>
    <row r="25" spans="1:10" s="29" customFormat="1" ht="139.5" customHeight="1" x14ac:dyDescent="0.25">
      <c r="A25" s="55" t="s">
        <v>40</v>
      </c>
      <c r="B25" s="68"/>
      <c r="C25" s="158" t="s">
        <v>237</v>
      </c>
      <c r="D25" s="158"/>
      <c r="E25" s="158"/>
      <c r="F25" s="158"/>
      <c r="G25" s="57" t="s">
        <v>49</v>
      </c>
      <c r="H25" s="58">
        <v>2</v>
      </c>
      <c r="I25" s="67">
        <f>1800/0.7</f>
        <v>2571.4285714285716</v>
      </c>
      <c r="J25" s="60">
        <f t="shared" si="1"/>
        <v>5142.8571428571431</v>
      </c>
    </row>
    <row r="26" spans="1:10" s="29" customFormat="1" ht="113.25" customHeight="1" x14ac:dyDescent="0.25">
      <c r="A26" s="55" t="s">
        <v>41</v>
      </c>
      <c r="B26" s="68"/>
      <c r="C26" s="158" t="s">
        <v>238</v>
      </c>
      <c r="D26" s="158"/>
      <c r="E26" s="158"/>
      <c r="F26" s="158"/>
      <c r="G26" s="57" t="s">
        <v>48</v>
      </c>
      <c r="H26" s="58">
        <v>22.02</v>
      </c>
      <c r="I26" s="67">
        <v>551.58000000000004</v>
      </c>
      <c r="J26" s="60">
        <f t="shared" si="1"/>
        <v>12145.7916</v>
      </c>
    </row>
    <row r="27" spans="1:10" s="29" customFormat="1" ht="114" customHeight="1" x14ac:dyDescent="0.25">
      <c r="A27" s="55" t="s">
        <v>42</v>
      </c>
      <c r="B27" s="56"/>
      <c r="C27" s="158" t="s">
        <v>239</v>
      </c>
      <c r="D27" s="158"/>
      <c r="E27" s="158"/>
      <c r="F27" s="158"/>
      <c r="G27" s="57" t="s">
        <v>48</v>
      </c>
      <c r="H27" s="58">
        <v>11.34</v>
      </c>
      <c r="I27" s="59">
        <f>1135/0.7</f>
        <v>1621.4285714285716</v>
      </c>
      <c r="J27" s="60">
        <f>I27*H27</f>
        <v>18387</v>
      </c>
    </row>
    <row r="28" spans="1:10" s="29" customFormat="1" ht="114.75" customHeight="1" x14ac:dyDescent="0.25">
      <c r="A28" s="55" t="s">
        <v>43</v>
      </c>
      <c r="B28" s="56"/>
      <c r="C28" s="163" t="s">
        <v>240</v>
      </c>
      <c r="D28" s="164"/>
      <c r="E28" s="164"/>
      <c r="F28" s="164"/>
      <c r="G28" s="57" t="s">
        <v>49</v>
      </c>
      <c r="H28" s="58">
        <v>14</v>
      </c>
      <c r="I28" s="59">
        <f>3800/0.6</f>
        <v>6333.3333333333339</v>
      </c>
      <c r="J28" s="60">
        <f>I28*H28</f>
        <v>88666.666666666672</v>
      </c>
    </row>
    <row r="29" spans="1:10" s="29" customFormat="1" ht="123.75" customHeight="1" x14ac:dyDescent="0.25">
      <c r="A29" s="55" t="s">
        <v>44</v>
      </c>
      <c r="B29" s="56"/>
      <c r="C29" s="163" t="s">
        <v>241</v>
      </c>
      <c r="D29" s="164"/>
      <c r="E29" s="164"/>
      <c r="F29" s="164"/>
      <c r="G29" s="57" t="s">
        <v>49</v>
      </c>
      <c r="H29" s="58">
        <v>3</v>
      </c>
      <c r="I29" s="59">
        <f>1600/0.65</f>
        <v>2461.5384615384614</v>
      </c>
      <c r="J29" s="60">
        <f t="shared" ref="J29:J38" si="2">I29*H29</f>
        <v>7384.6153846153848</v>
      </c>
    </row>
    <row r="30" spans="1:10" s="29" customFormat="1" ht="126" customHeight="1" x14ac:dyDescent="0.25">
      <c r="A30" s="55" t="s">
        <v>45</v>
      </c>
      <c r="B30" s="56"/>
      <c r="C30" s="163" t="s">
        <v>242</v>
      </c>
      <c r="D30" s="164"/>
      <c r="E30" s="164"/>
      <c r="F30" s="164"/>
      <c r="G30" s="57" t="s">
        <v>49</v>
      </c>
      <c r="H30" s="58">
        <v>1</v>
      </c>
      <c r="I30" s="59">
        <f>980/0.65</f>
        <v>1507.6923076923076</v>
      </c>
      <c r="J30" s="60">
        <f t="shared" si="2"/>
        <v>1507.6923076923076</v>
      </c>
    </row>
    <row r="31" spans="1:10" s="29" customFormat="1" ht="102.75" customHeight="1" x14ac:dyDescent="0.25">
      <c r="A31" s="55" t="s">
        <v>50</v>
      </c>
      <c r="B31" s="56"/>
      <c r="C31" s="158" t="s">
        <v>243</v>
      </c>
      <c r="D31" s="158"/>
      <c r="E31" s="158"/>
      <c r="F31" s="158"/>
      <c r="G31" s="57" t="s">
        <v>49</v>
      </c>
      <c r="H31" s="58">
        <v>30</v>
      </c>
      <c r="I31" s="59">
        <f>120/0.5</f>
        <v>240</v>
      </c>
      <c r="J31" s="60">
        <f>I31*H31</f>
        <v>7200</v>
      </c>
    </row>
    <row r="32" spans="1:10" s="29" customFormat="1" ht="116.25" customHeight="1" x14ac:dyDescent="0.25">
      <c r="A32" s="55" t="s">
        <v>51</v>
      </c>
      <c r="B32" s="56"/>
      <c r="C32" s="163" t="s">
        <v>244</v>
      </c>
      <c r="D32" s="164"/>
      <c r="E32" s="164"/>
      <c r="F32" s="164"/>
      <c r="G32" s="57" t="s">
        <v>49</v>
      </c>
      <c r="H32" s="58">
        <v>3</v>
      </c>
      <c r="I32" s="59">
        <f>16550/0.7</f>
        <v>23642.857142857145</v>
      </c>
      <c r="J32" s="60">
        <f t="shared" ref="J32:J34" si="3">I32*H32</f>
        <v>70928.571428571435</v>
      </c>
    </row>
    <row r="33" spans="1:10" s="29" customFormat="1" ht="126" customHeight="1" x14ac:dyDescent="0.25">
      <c r="A33" s="55" t="s">
        <v>52</v>
      </c>
      <c r="B33" s="56"/>
      <c r="C33" s="163" t="s">
        <v>135</v>
      </c>
      <c r="D33" s="164"/>
      <c r="E33" s="164"/>
      <c r="F33" s="164"/>
      <c r="G33" s="57" t="s">
        <v>49</v>
      </c>
      <c r="H33" s="58">
        <v>15</v>
      </c>
      <c r="I33" s="59">
        <f>5785/0.7</f>
        <v>8264.2857142857156</v>
      </c>
      <c r="J33" s="60">
        <f t="shared" si="3"/>
        <v>123964.28571428574</v>
      </c>
    </row>
    <row r="34" spans="1:10" s="29" customFormat="1" ht="125.25" customHeight="1" x14ac:dyDescent="0.25">
      <c r="A34" s="55" t="s">
        <v>53</v>
      </c>
      <c r="B34" s="56"/>
      <c r="C34" s="163" t="s">
        <v>245</v>
      </c>
      <c r="D34" s="164"/>
      <c r="E34" s="164"/>
      <c r="F34" s="164"/>
      <c r="G34" s="57" t="s">
        <v>49</v>
      </c>
      <c r="H34" s="58">
        <v>2</v>
      </c>
      <c r="I34" s="59">
        <f>3020/0.6</f>
        <v>5033.3333333333339</v>
      </c>
      <c r="J34" s="60">
        <f t="shared" si="3"/>
        <v>10066.666666666668</v>
      </c>
    </row>
    <row r="35" spans="1:10" s="29" customFormat="1" ht="100.5" customHeight="1" x14ac:dyDescent="0.25">
      <c r="A35" s="55" t="s">
        <v>54</v>
      </c>
      <c r="B35" s="56"/>
      <c r="C35" s="163" t="s">
        <v>246</v>
      </c>
      <c r="D35" s="164"/>
      <c r="E35" s="164"/>
      <c r="F35" s="164"/>
      <c r="G35" s="57" t="s">
        <v>49</v>
      </c>
      <c r="H35" s="58">
        <v>5</v>
      </c>
      <c r="I35" s="59">
        <f>4800/0.5</f>
        <v>9600</v>
      </c>
      <c r="J35" s="60">
        <f t="shared" si="2"/>
        <v>48000</v>
      </c>
    </row>
    <row r="36" spans="1:10" s="29" customFormat="1" ht="111.75" customHeight="1" x14ac:dyDescent="0.25">
      <c r="A36" s="55" t="s">
        <v>55</v>
      </c>
      <c r="B36" s="56"/>
      <c r="C36" s="165" t="s">
        <v>247</v>
      </c>
      <c r="D36" s="166"/>
      <c r="E36" s="166"/>
      <c r="F36" s="167"/>
      <c r="G36" s="57" t="s">
        <v>49</v>
      </c>
      <c r="H36" s="58">
        <v>3</v>
      </c>
      <c r="I36" s="59">
        <f>4400/0.6</f>
        <v>7333.3333333333339</v>
      </c>
      <c r="J36" s="60">
        <f t="shared" si="2"/>
        <v>22000</v>
      </c>
    </row>
    <row r="37" spans="1:10" s="29" customFormat="1" ht="112.5" customHeight="1" x14ac:dyDescent="0.25">
      <c r="A37" s="55" t="s">
        <v>56</v>
      </c>
      <c r="B37" s="56"/>
      <c r="C37" s="165" t="s">
        <v>200</v>
      </c>
      <c r="D37" s="166"/>
      <c r="E37" s="166"/>
      <c r="F37" s="167"/>
      <c r="G37" s="57" t="s">
        <v>49</v>
      </c>
      <c r="H37" s="58">
        <v>3</v>
      </c>
      <c r="I37" s="59">
        <f>1875/0.7</f>
        <v>2678.5714285714289</v>
      </c>
      <c r="J37" s="60">
        <f t="shared" si="2"/>
        <v>8035.7142857142862</v>
      </c>
    </row>
    <row r="38" spans="1:10" s="29" customFormat="1" ht="111.75" customHeight="1" x14ac:dyDescent="0.25">
      <c r="A38" s="55" t="s">
        <v>57</v>
      </c>
      <c r="B38" s="56"/>
      <c r="C38" s="165" t="s">
        <v>248</v>
      </c>
      <c r="D38" s="166"/>
      <c r="E38" s="166"/>
      <c r="F38" s="167"/>
      <c r="G38" s="57" t="s">
        <v>49</v>
      </c>
      <c r="H38" s="58">
        <v>2</v>
      </c>
      <c r="I38" s="59">
        <f>4400/0.6</f>
        <v>7333.3333333333339</v>
      </c>
      <c r="J38" s="60">
        <f t="shared" si="2"/>
        <v>14666.666666666668</v>
      </c>
    </row>
    <row r="39" spans="1:10" s="29" customFormat="1" ht="111.75" customHeight="1" x14ac:dyDescent="0.25">
      <c r="A39" s="55" t="s">
        <v>58</v>
      </c>
      <c r="B39" s="56"/>
      <c r="C39" s="165" t="s">
        <v>249</v>
      </c>
      <c r="D39" s="166"/>
      <c r="E39" s="166"/>
      <c r="F39" s="167"/>
      <c r="G39" s="57" t="s">
        <v>49</v>
      </c>
      <c r="H39" s="58">
        <v>2</v>
      </c>
      <c r="I39" s="59">
        <f>900/0.7</f>
        <v>1285.7142857142858</v>
      </c>
      <c r="J39" s="60">
        <f>I39*H39</f>
        <v>2571.4285714285716</v>
      </c>
    </row>
    <row r="40" spans="1:10" s="29" customFormat="1" ht="100.5" customHeight="1" x14ac:dyDescent="0.25">
      <c r="A40" s="55" t="s">
        <v>59</v>
      </c>
      <c r="B40" s="56"/>
      <c r="C40" s="165" t="s">
        <v>250</v>
      </c>
      <c r="D40" s="166"/>
      <c r="E40" s="166"/>
      <c r="F40" s="167"/>
      <c r="G40" s="57" t="s">
        <v>49</v>
      </c>
      <c r="H40" s="58">
        <v>12</v>
      </c>
      <c r="I40" s="59">
        <f>300/0.6</f>
        <v>500</v>
      </c>
      <c r="J40" s="60">
        <f t="shared" ref="J40:J41" si="4">I40*H40</f>
        <v>6000</v>
      </c>
    </row>
    <row r="41" spans="1:10" s="29" customFormat="1" ht="91.5" customHeight="1" x14ac:dyDescent="0.25">
      <c r="A41" s="55" t="s">
        <v>60</v>
      </c>
      <c r="B41" s="56"/>
      <c r="C41" s="165" t="s">
        <v>251</v>
      </c>
      <c r="D41" s="166"/>
      <c r="E41" s="166"/>
      <c r="F41" s="167"/>
      <c r="G41" s="57" t="s">
        <v>49</v>
      </c>
      <c r="H41" s="58">
        <v>6</v>
      </c>
      <c r="I41" s="59">
        <f>1000/0.61</f>
        <v>1639.344262295082</v>
      </c>
      <c r="J41" s="60">
        <f t="shared" si="4"/>
        <v>9836.065573770491</v>
      </c>
    </row>
    <row r="42" spans="1:10" s="29" customFormat="1" ht="101.25" customHeight="1" x14ac:dyDescent="0.25">
      <c r="A42" s="55" t="s">
        <v>61</v>
      </c>
      <c r="B42" s="56"/>
      <c r="C42" s="165" t="s">
        <v>252</v>
      </c>
      <c r="D42" s="166"/>
      <c r="E42" s="166"/>
      <c r="F42" s="167"/>
      <c r="G42" s="57" t="s">
        <v>49</v>
      </c>
      <c r="H42" s="58">
        <v>4</v>
      </c>
      <c r="I42" s="59">
        <f>4400/0.6</f>
        <v>7333.3333333333339</v>
      </c>
      <c r="J42" s="60">
        <f t="shared" ref="J42:J45" si="5">I42*H42</f>
        <v>29333.333333333336</v>
      </c>
    </row>
    <row r="43" spans="1:10" s="29" customFormat="1" ht="137.25" customHeight="1" x14ac:dyDescent="0.25">
      <c r="A43" s="55" t="s">
        <v>62</v>
      </c>
      <c r="B43" s="56"/>
      <c r="C43" s="158" t="s">
        <v>253</v>
      </c>
      <c r="D43" s="158"/>
      <c r="E43" s="158"/>
      <c r="F43" s="158"/>
      <c r="G43" s="57" t="s">
        <v>49</v>
      </c>
      <c r="H43" s="58">
        <v>85</v>
      </c>
      <c r="I43" s="59">
        <v>895</v>
      </c>
      <c r="J43" s="60">
        <f t="shared" si="5"/>
        <v>76075</v>
      </c>
    </row>
    <row r="44" spans="1:10" s="29" customFormat="1" ht="112.5" customHeight="1" x14ac:dyDescent="0.25">
      <c r="A44" s="55" t="s">
        <v>63</v>
      </c>
      <c r="B44" s="56"/>
      <c r="C44" s="158" t="s">
        <v>254</v>
      </c>
      <c r="D44" s="158"/>
      <c r="E44" s="158"/>
      <c r="F44" s="158"/>
      <c r="G44" s="57" t="s">
        <v>49</v>
      </c>
      <c r="H44" s="58">
        <v>9</v>
      </c>
      <c r="I44" s="59">
        <v>228</v>
      </c>
      <c r="J44" s="60">
        <f t="shared" si="5"/>
        <v>2052</v>
      </c>
    </row>
    <row r="45" spans="1:10" s="29" customFormat="1" ht="102.75" customHeight="1" x14ac:dyDescent="0.25">
      <c r="A45" s="55" t="s">
        <v>64</v>
      </c>
      <c r="B45" s="56"/>
      <c r="C45" s="158" t="s">
        <v>255</v>
      </c>
      <c r="D45" s="158"/>
      <c r="E45" s="158"/>
      <c r="F45" s="158"/>
      <c r="G45" s="57" t="s">
        <v>49</v>
      </c>
      <c r="H45" s="58">
        <v>7</v>
      </c>
      <c r="I45" s="59">
        <v>65.3</v>
      </c>
      <c r="J45" s="60">
        <f t="shared" si="5"/>
        <v>457.09999999999997</v>
      </c>
    </row>
    <row r="46" spans="1:10" s="29" customFormat="1" ht="113.25" customHeight="1" x14ac:dyDescent="0.25">
      <c r="A46" s="55" t="s">
        <v>65</v>
      </c>
      <c r="B46" s="68"/>
      <c r="C46" s="158" t="s">
        <v>137</v>
      </c>
      <c r="D46" s="158"/>
      <c r="E46" s="158"/>
      <c r="F46" s="158"/>
      <c r="G46" s="57" t="s">
        <v>49</v>
      </c>
      <c r="H46" s="58">
        <v>13</v>
      </c>
      <c r="I46" s="67">
        <v>535</v>
      </c>
      <c r="J46" s="60">
        <f t="shared" ref="J46:J47" si="6">H46*I46</f>
        <v>6955</v>
      </c>
    </row>
    <row r="47" spans="1:10" s="29" customFormat="1" ht="114.75" customHeight="1" x14ac:dyDescent="0.25">
      <c r="A47" s="55" t="s">
        <v>68</v>
      </c>
      <c r="B47" s="68"/>
      <c r="C47" s="158" t="s">
        <v>256</v>
      </c>
      <c r="D47" s="158"/>
      <c r="E47" s="158"/>
      <c r="F47" s="158"/>
      <c r="G47" s="57" t="s">
        <v>49</v>
      </c>
      <c r="H47" s="58">
        <v>72</v>
      </c>
      <c r="I47" s="67">
        <f>70/0.5</f>
        <v>140</v>
      </c>
      <c r="J47" s="60">
        <f t="shared" si="6"/>
        <v>10080</v>
      </c>
    </row>
    <row r="48" spans="1:10" s="29" customFormat="1" ht="114" customHeight="1" x14ac:dyDescent="0.25">
      <c r="A48" s="55" t="s">
        <v>69</v>
      </c>
      <c r="B48" s="68"/>
      <c r="C48" s="158" t="s">
        <v>139</v>
      </c>
      <c r="D48" s="158"/>
      <c r="E48" s="158"/>
      <c r="F48" s="158"/>
      <c r="G48" s="57" t="s">
        <v>49</v>
      </c>
      <c r="H48" s="58">
        <v>2</v>
      </c>
      <c r="I48" s="67">
        <f>180/0.5</f>
        <v>360</v>
      </c>
      <c r="J48" s="60">
        <f>H48*I48</f>
        <v>720</v>
      </c>
    </row>
    <row r="49" spans="1:11" s="29" customFormat="1" ht="104.25" customHeight="1" x14ac:dyDescent="0.25">
      <c r="A49" s="55" t="s">
        <v>70</v>
      </c>
      <c r="B49" s="68"/>
      <c r="C49" s="158" t="s">
        <v>140</v>
      </c>
      <c r="D49" s="158"/>
      <c r="E49" s="158"/>
      <c r="F49" s="158"/>
      <c r="G49" s="57" t="s">
        <v>49</v>
      </c>
      <c r="H49" s="58">
        <v>14</v>
      </c>
      <c r="I49" s="67">
        <f>500/0.55</f>
        <v>909.09090909090901</v>
      </c>
      <c r="J49" s="60">
        <f t="shared" ref="J49:J53" si="7">H49*I49</f>
        <v>12727.272727272726</v>
      </c>
    </row>
    <row r="50" spans="1:11" s="29" customFormat="1" ht="108" customHeight="1" x14ac:dyDescent="0.25">
      <c r="A50" s="55" t="s">
        <v>71</v>
      </c>
      <c r="B50" s="68"/>
      <c r="C50" s="158" t="s">
        <v>141</v>
      </c>
      <c r="D50" s="158"/>
      <c r="E50" s="158"/>
      <c r="F50" s="158"/>
      <c r="G50" s="57" t="s">
        <v>49</v>
      </c>
      <c r="H50" s="58">
        <v>2</v>
      </c>
      <c r="I50" s="67">
        <f>150/0.51</f>
        <v>294.11764705882354</v>
      </c>
      <c r="J50" s="60">
        <f t="shared" si="7"/>
        <v>588.23529411764707</v>
      </c>
    </row>
    <row r="51" spans="1:11" s="29" customFormat="1" ht="108" customHeight="1" x14ac:dyDescent="0.25">
      <c r="A51" s="55" t="s">
        <v>72</v>
      </c>
      <c r="B51" s="68"/>
      <c r="C51" s="158" t="s">
        <v>142</v>
      </c>
      <c r="D51" s="158"/>
      <c r="E51" s="158"/>
      <c r="F51" s="158"/>
      <c r="G51" s="57" t="s">
        <v>49</v>
      </c>
      <c r="H51" s="58">
        <v>3</v>
      </c>
      <c r="I51" s="67">
        <f>500/0.6</f>
        <v>833.33333333333337</v>
      </c>
      <c r="J51" s="60">
        <f t="shared" si="7"/>
        <v>2500</v>
      </c>
    </row>
    <row r="52" spans="1:11" s="29" customFormat="1" ht="108" customHeight="1" x14ac:dyDescent="0.25">
      <c r="A52" s="55" t="s">
        <v>73</v>
      </c>
      <c r="B52" s="68"/>
      <c r="C52" s="158" t="s">
        <v>143</v>
      </c>
      <c r="D52" s="158"/>
      <c r="E52" s="158"/>
      <c r="F52" s="158"/>
      <c r="G52" s="57" t="s">
        <v>49</v>
      </c>
      <c r="H52" s="58">
        <v>6</v>
      </c>
      <c r="I52" s="67">
        <f>500/0.58</f>
        <v>862.06896551724139</v>
      </c>
      <c r="J52" s="60">
        <f t="shared" si="7"/>
        <v>5172.4137931034484</v>
      </c>
      <c r="K52" s="77"/>
    </row>
    <row r="53" spans="1:11" s="29" customFormat="1" ht="102" customHeight="1" x14ac:dyDescent="0.25">
      <c r="A53" s="55" t="s">
        <v>74</v>
      </c>
      <c r="B53" s="68"/>
      <c r="C53" s="158" t="s">
        <v>144</v>
      </c>
      <c r="D53" s="158"/>
      <c r="E53" s="158"/>
      <c r="F53" s="158"/>
      <c r="G53" s="57" t="s">
        <v>46</v>
      </c>
      <c r="H53" s="58">
        <v>697.32</v>
      </c>
      <c r="I53" s="67">
        <v>87.15</v>
      </c>
      <c r="J53" s="60">
        <f t="shared" si="7"/>
        <v>60771.438000000009</v>
      </c>
    </row>
    <row r="54" spans="1:11" s="29" customFormat="1" ht="147" customHeight="1" x14ac:dyDescent="0.25">
      <c r="A54" s="55" t="s">
        <v>75</v>
      </c>
      <c r="B54" s="56"/>
      <c r="C54" s="165" t="s">
        <v>257</v>
      </c>
      <c r="D54" s="166"/>
      <c r="E54" s="166"/>
      <c r="F54" s="167"/>
      <c r="G54" s="57" t="s">
        <v>49</v>
      </c>
      <c r="H54" s="58">
        <v>9</v>
      </c>
      <c r="I54" s="59">
        <v>19820</v>
      </c>
      <c r="J54" s="60">
        <f>I54*H54</f>
        <v>178380</v>
      </c>
    </row>
    <row r="55" spans="1:11" s="29" customFormat="1" ht="129" customHeight="1" x14ac:dyDescent="0.25">
      <c r="A55" s="55" t="s">
        <v>76</v>
      </c>
      <c r="B55" s="68"/>
      <c r="C55" s="158" t="s">
        <v>258</v>
      </c>
      <c r="D55" s="158"/>
      <c r="E55" s="158"/>
      <c r="F55" s="158"/>
      <c r="G55" s="57" t="s">
        <v>46</v>
      </c>
      <c r="H55" s="58">
        <v>41.95</v>
      </c>
      <c r="I55" s="67">
        <v>253</v>
      </c>
      <c r="J55" s="60">
        <f t="shared" ref="J55:J56" si="8">H55*I55</f>
        <v>10613.35</v>
      </c>
    </row>
    <row r="56" spans="1:11" s="29" customFormat="1" ht="114.75" customHeight="1" x14ac:dyDescent="0.25">
      <c r="A56" s="55" t="s">
        <v>98</v>
      </c>
      <c r="B56" s="68"/>
      <c r="C56" s="158" t="s">
        <v>259</v>
      </c>
      <c r="D56" s="158"/>
      <c r="E56" s="158"/>
      <c r="F56" s="158"/>
      <c r="G56" s="57" t="s">
        <v>46</v>
      </c>
      <c r="H56" s="58">
        <v>126.16</v>
      </c>
      <c r="I56" s="67">
        <v>19.149999999999999</v>
      </c>
      <c r="J56" s="60">
        <f t="shared" si="8"/>
        <v>2415.9639999999999</v>
      </c>
    </row>
    <row r="57" spans="1:11" x14ac:dyDescent="0.2">
      <c r="A57" s="26"/>
      <c r="B57" s="26"/>
      <c r="C57" s="26"/>
      <c r="D57" s="26"/>
      <c r="E57" s="26"/>
      <c r="F57" s="26"/>
      <c r="G57" s="26"/>
      <c r="H57" s="26"/>
      <c r="I57" s="26"/>
      <c r="J57" s="26"/>
    </row>
    <row r="58" spans="1:11" s="29" customFormat="1" x14ac:dyDescent="0.25">
      <c r="A58" s="55"/>
      <c r="B58" s="56"/>
      <c r="C58" s="133"/>
      <c r="D58" s="131"/>
      <c r="E58" s="131"/>
      <c r="F58" s="132"/>
      <c r="G58" s="57"/>
      <c r="H58" s="58"/>
      <c r="I58" s="59"/>
      <c r="J58" s="60"/>
    </row>
    <row r="59" spans="1:11" s="29" customFormat="1" ht="12" thickBot="1" x14ac:dyDescent="0.3">
      <c r="A59" s="30"/>
      <c r="B59" s="31"/>
      <c r="C59" s="162"/>
      <c r="D59" s="162"/>
      <c r="E59" s="162"/>
      <c r="F59" s="162"/>
      <c r="G59" s="32"/>
      <c r="H59" s="33"/>
      <c r="I59" s="34" t="s">
        <v>26</v>
      </c>
      <c r="J59" s="35">
        <f>SUM(J17:J57)</f>
        <v>916648.83822342905</v>
      </c>
    </row>
    <row r="60" spans="1:11" x14ac:dyDescent="0.2">
      <c r="A60" s="39"/>
      <c r="B60" s="40"/>
      <c r="C60" s="40"/>
      <c r="D60" s="40"/>
      <c r="E60" s="40"/>
      <c r="F60" s="41"/>
      <c r="G60" s="48"/>
      <c r="H60" s="49"/>
      <c r="I60" s="50"/>
      <c r="J60" s="36"/>
    </row>
    <row r="61" spans="1:11" x14ac:dyDescent="0.2">
      <c r="A61" s="42" t="s">
        <v>27</v>
      </c>
      <c r="B61" s="21"/>
      <c r="C61" s="43"/>
      <c r="D61" s="43"/>
      <c r="E61" s="43"/>
      <c r="F61" s="44"/>
      <c r="G61" s="51"/>
      <c r="H61" s="52"/>
      <c r="I61" s="53"/>
      <c r="J61" s="37">
        <f>J59</f>
        <v>916648.83822342905</v>
      </c>
    </row>
    <row r="62" spans="1:11" ht="12" thickBot="1" x14ac:dyDescent="0.25">
      <c r="A62" s="45"/>
      <c r="B62" s="46"/>
      <c r="C62" s="46"/>
      <c r="D62" s="46"/>
      <c r="E62" s="46"/>
      <c r="F62" s="47"/>
      <c r="G62" s="54"/>
      <c r="H62" s="46"/>
      <c r="I62" s="47"/>
      <c r="J62" s="38"/>
    </row>
    <row r="63" spans="1:11" s="64" customFormat="1" x14ac:dyDescent="0.25">
      <c r="A63" s="61"/>
      <c r="B63" s="61"/>
      <c r="C63" s="62"/>
      <c r="D63" s="63"/>
      <c r="E63" s="63"/>
      <c r="F63" s="63"/>
      <c r="H63" s="65"/>
      <c r="I63" s="66"/>
      <c r="J63" s="66"/>
    </row>
    <row r="64" spans="1:11" s="64" customFormat="1" x14ac:dyDescent="0.25">
      <c r="A64" s="61" t="s">
        <v>66</v>
      </c>
      <c r="B64" s="61" t="s">
        <v>67</v>
      </c>
      <c r="C64" s="62"/>
      <c r="D64" s="63"/>
      <c r="E64" s="63"/>
      <c r="F64" s="63"/>
      <c r="H64" s="65"/>
      <c r="I64" s="66"/>
      <c r="J64" s="66"/>
    </row>
    <row r="65" spans="1:10" s="64" customFormat="1" x14ac:dyDescent="0.25">
      <c r="A65" s="61"/>
      <c r="B65" s="61"/>
      <c r="C65" s="62"/>
      <c r="D65" s="63"/>
      <c r="E65" s="63"/>
      <c r="F65" s="63"/>
      <c r="H65" s="65"/>
      <c r="I65" s="66"/>
      <c r="J65" s="66"/>
    </row>
    <row r="66" spans="1:10" s="64" customFormat="1" x14ac:dyDescent="0.25">
      <c r="A66" s="61"/>
      <c r="B66" s="61"/>
      <c r="C66" s="62"/>
      <c r="D66" s="63"/>
      <c r="E66" s="63"/>
      <c r="F66" s="63"/>
      <c r="H66" s="65"/>
      <c r="I66" s="66"/>
      <c r="J66" s="66"/>
    </row>
    <row r="67" spans="1:10" s="64" customFormat="1" x14ac:dyDescent="0.25">
      <c r="A67" s="61"/>
      <c r="B67" s="61"/>
      <c r="C67" s="62"/>
      <c r="D67" s="63"/>
      <c r="E67" s="63"/>
      <c r="F67" s="63"/>
      <c r="H67" s="65"/>
      <c r="I67" s="66"/>
      <c r="J67" s="66"/>
    </row>
    <row r="68" spans="1:10" s="64" customFormat="1" x14ac:dyDescent="0.25">
      <c r="A68" s="61"/>
      <c r="B68" s="61"/>
      <c r="C68" s="62"/>
      <c r="D68" s="63"/>
      <c r="E68" s="63"/>
      <c r="F68" s="63"/>
      <c r="H68" s="65"/>
      <c r="I68" s="66"/>
      <c r="J68" s="66"/>
    </row>
    <row r="69" spans="1:10" s="64" customFormat="1" x14ac:dyDescent="0.25">
      <c r="A69" s="61"/>
      <c r="B69" s="61"/>
      <c r="C69" s="62"/>
      <c r="D69" s="63"/>
      <c r="E69" s="63"/>
      <c r="F69" s="63"/>
      <c r="H69" s="65"/>
      <c r="I69" s="66"/>
      <c r="J69" s="66"/>
    </row>
    <row r="70" spans="1:10" s="64" customFormat="1" x14ac:dyDescent="0.25">
      <c r="A70" s="61"/>
      <c r="B70" s="61"/>
      <c r="C70" s="62"/>
      <c r="D70" s="63"/>
      <c r="E70" s="63"/>
      <c r="F70" s="63"/>
      <c r="H70" s="65"/>
      <c r="I70" s="66"/>
      <c r="J70" s="66"/>
    </row>
    <row r="71" spans="1:10" s="64" customFormat="1" x14ac:dyDescent="0.25">
      <c r="A71" s="61"/>
      <c r="B71" s="61"/>
      <c r="C71" s="62"/>
      <c r="D71" s="63"/>
      <c r="E71" s="63"/>
      <c r="F71" s="63"/>
      <c r="H71" s="65"/>
      <c r="I71" s="66"/>
      <c r="J71" s="66"/>
    </row>
    <row r="72" spans="1:10" s="64" customFormat="1" x14ac:dyDescent="0.25">
      <c r="A72" s="61"/>
      <c r="B72" s="61"/>
      <c r="C72" s="62"/>
      <c r="D72" s="63"/>
      <c r="E72" s="63"/>
      <c r="F72" s="63"/>
      <c r="H72" s="65"/>
      <c r="I72" s="66"/>
      <c r="J72" s="66"/>
    </row>
    <row r="73" spans="1:10" s="64" customFormat="1" x14ac:dyDescent="0.25">
      <c r="A73" s="61"/>
      <c r="B73" s="61"/>
      <c r="C73" s="62"/>
      <c r="D73" s="63"/>
      <c r="E73" s="63"/>
      <c r="F73" s="63"/>
      <c r="H73" s="65"/>
      <c r="I73" s="66"/>
      <c r="J73" s="66"/>
    </row>
    <row r="74" spans="1:10" s="64" customFormat="1" x14ac:dyDescent="0.25">
      <c r="A74" s="61"/>
      <c r="B74" s="61"/>
      <c r="C74" s="62"/>
      <c r="D74" s="63"/>
      <c r="E74" s="63"/>
      <c r="F74" s="63"/>
      <c r="H74" s="65"/>
      <c r="I74" s="66"/>
      <c r="J74" s="66"/>
    </row>
    <row r="75" spans="1:10" s="64" customFormat="1" x14ac:dyDescent="0.25">
      <c r="A75" s="61"/>
      <c r="B75" s="61"/>
      <c r="C75" s="62"/>
      <c r="D75" s="63"/>
      <c r="E75" s="63"/>
      <c r="F75" s="63"/>
      <c r="H75" s="65"/>
      <c r="I75" s="66"/>
      <c r="J75" s="66"/>
    </row>
    <row r="76" spans="1:10" s="64" customFormat="1" x14ac:dyDescent="0.25">
      <c r="A76" s="61"/>
      <c r="B76" s="61"/>
      <c r="C76" s="62"/>
      <c r="D76" s="63"/>
      <c r="E76" s="63"/>
      <c r="F76" s="63"/>
      <c r="H76" s="65"/>
      <c r="I76" s="66"/>
      <c r="J76" s="66"/>
    </row>
    <row r="77" spans="1:10" s="64" customFormat="1" x14ac:dyDescent="0.25">
      <c r="A77" s="61"/>
      <c r="B77" s="61"/>
      <c r="C77" s="62"/>
      <c r="D77" s="63"/>
      <c r="E77" s="63"/>
      <c r="F77" s="63"/>
      <c r="H77" s="65"/>
      <c r="I77" s="66"/>
      <c r="J77" s="66"/>
    </row>
    <row r="78" spans="1:10" s="64" customFormat="1" x14ac:dyDescent="0.25">
      <c r="A78" s="61"/>
      <c r="B78" s="61"/>
      <c r="C78" s="62"/>
      <c r="D78" s="63"/>
      <c r="E78" s="63"/>
      <c r="F78" s="63"/>
      <c r="H78" s="65"/>
      <c r="I78" s="66"/>
      <c r="J78" s="66"/>
    </row>
    <row r="79" spans="1:10" s="64" customFormat="1" x14ac:dyDescent="0.25">
      <c r="A79" s="61"/>
      <c r="B79" s="61"/>
      <c r="C79" s="62"/>
      <c r="D79" s="63"/>
      <c r="E79" s="63"/>
      <c r="F79" s="63"/>
      <c r="H79" s="65"/>
      <c r="I79" s="66"/>
      <c r="J79" s="66"/>
    </row>
    <row r="80" spans="1:10" s="64" customFormat="1" x14ac:dyDescent="0.25">
      <c r="A80" s="61"/>
      <c r="B80" s="61"/>
      <c r="C80" s="62"/>
      <c r="D80" s="63"/>
      <c r="E80" s="63"/>
      <c r="F80" s="63"/>
      <c r="H80" s="65"/>
      <c r="I80" s="66"/>
      <c r="J80" s="66"/>
    </row>
    <row r="81" spans="1:10" s="64" customFormat="1" x14ac:dyDescent="0.25">
      <c r="A81" s="61"/>
      <c r="B81" s="61"/>
      <c r="C81" s="62"/>
      <c r="D81" s="63"/>
      <c r="E81" s="63"/>
      <c r="F81" s="63"/>
      <c r="H81" s="65"/>
      <c r="I81" s="66"/>
      <c r="J81" s="66"/>
    </row>
    <row r="82" spans="1:10" s="64" customFormat="1" x14ac:dyDescent="0.25">
      <c r="A82" s="61"/>
      <c r="B82" s="61"/>
      <c r="C82" s="62"/>
      <c r="D82" s="63"/>
      <c r="E82" s="63"/>
      <c r="F82" s="63"/>
      <c r="H82" s="65"/>
      <c r="I82" s="66"/>
      <c r="J82" s="66"/>
    </row>
  </sheetData>
  <mergeCells count="41">
    <mergeCell ref="C53:F53"/>
    <mergeCell ref="C54:F54"/>
    <mergeCell ref="C55:F55"/>
    <mergeCell ref="C56:F56"/>
    <mergeCell ref="C59:F59"/>
    <mergeCell ref="C52:F52"/>
    <mergeCell ref="C41:F41"/>
    <mergeCell ref="C42:F42"/>
    <mergeCell ref="C43:F43"/>
    <mergeCell ref="C44:F44"/>
    <mergeCell ref="C45:F45"/>
    <mergeCell ref="C46:F46"/>
    <mergeCell ref="C47:F47"/>
    <mergeCell ref="C48:F48"/>
    <mergeCell ref="C49:F49"/>
    <mergeCell ref="C50:F50"/>
    <mergeCell ref="C51:F51"/>
    <mergeCell ref="C40:F40"/>
    <mergeCell ref="C29:F29"/>
    <mergeCell ref="C30:F30"/>
    <mergeCell ref="C31:F31"/>
    <mergeCell ref="C32:F32"/>
    <mergeCell ref="C33:F33"/>
    <mergeCell ref="C34:F34"/>
    <mergeCell ref="C35:F35"/>
    <mergeCell ref="C36:F36"/>
    <mergeCell ref="C37:F37"/>
    <mergeCell ref="C38:F38"/>
    <mergeCell ref="C39:F39"/>
    <mergeCell ref="C28:F28"/>
    <mergeCell ref="C17:F17"/>
    <mergeCell ref="C18:F18"/>
    <mergeCell ref="C19:F19"/>
    <mergeCell ref="C20:F20"/>
    <mergeCell ref="C21:F21"/>
    <mergeCell ref="C22:F22"/>
    <mergeCell ref="C23:F23"/>
    <mergeCell ref="C24:F24"/>
    <mergeCell ref="C25:F25"/>
    <mergeCell ref="C26:F26"/>
    <mergeCell ref="C27:F27"/>
  </mergeCells>
  <pageMargins left="0.70866141732283472" right="0.70866141732283472" top="1.1417322834645669" bottom="0.55118110236220474" header="0.31496062992125984" footer="0.31496062992125984"/>
  <pageSetup scale="88" orientation="portrait" r:id="rId1"/>
  <headerFooter>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27" zoomScaleNormal="100" zoomScaleSheetLayoutView="100" workbookViewId="0">
      <selection activeCell="H18" sqref="H18:I18"/>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1" ht="21" customHeight="1" x14ac:dyDescent="0.25">
      <c r="A1" s="115" t="s">
        <v>461</v>
      </c>
      <c r="B1" s="2"/>
      <c r="C1" s="2"/>
      <c r="D1" s="2"/>
      <c r="E1" s="2"/>
      <c r="F1" s="2"/>
      <c r="G1" s="2"/>
      <c r="H1" s="2"/>
      <c r="I1" s="2"/>
      <c r="J1" s="97"/>
    </row>
    <row r="2" spans="1:11" ht="4.5" customHeight="1" x14ac:dyDescent="0.25">
      <c r="A2" s="116"/>
      <c r="B2" s="2"/>
      <c r="C2" s="2"/>
      <c r="D2" s="2"/>
      <c r="E2" s="2"/>
      <c r="F2" s="2"/>
      <c r="G2" s="2"/>
      <c r="H2" s="2"/>
      <c r="I2" s="2"/>
      <c r="J2" s="97"/>
    </row>
    <row r="3" spans="1:11" ht="14.25" x14ac:dyDescent="0.2">
      <c r="A3" s="117" t="s">
        <v>462</v>
      </c>
      <c r="B3" s="6"/>
      <c r="C3" s="6"/>
      <c r="D3" s="6"/>
      <c r="E3" s="6"/>
      <c r="F3" s="6"/>
      <c r="G3" s="6"/>
      <c r="H3" s="6"/>
      <c r="I3" s="6"/>
      <c r="J3" s="97"/>
    </row>
    <row r="4" spans="1:11" ht="15" x14ac:dyDescent="0.2">
      <c r="A4" s="5" t="s">
        <v>463</v>
      </c>
      <c r="B4" s="6"/>
      <c r="C4" s="6"/>
      <c r="D4" s="6"/>
      <c r="E4" s="6"/>
      <c r="F4" s="6"/>
      <c r="G4" s="6"/>
      <c r="H4" s="6"/>
      <c r="I4" s="6"/>
      <c r="J4" s="97"/>
    </row>
    <row r="5" spans="1:11" ht="6.75" customHeight="1" x14ac:dyDescent="0.35">
      <c r="A5" s="1"/>
      <c r="B5" s="1"/>
      <c r="C5" s="2"/>
      <c r="D5" s="2"/>
      <c r="E5" s="2"/>
      <c r="F5" s="2"/>
      <c r="G5" s="2"/>
      <c r="H5" s="2"/>
      <c r="I5" s="2"/>
      <c r="J5" s="2"/>
    </row>
    <row r="6" spans="1:11" x14ac:dyDescent="0.2">
      <c r="A6" s="7" t="s">
        <v>0</v>
      </c>
      <c r="B6" s="7"/>
      <c r="C6" s="8" t="s">
        <v>260</v>
      </c>
      <c r="D6" s="9"/>
      <c r="E6" s="9"/>
      <c r="F6" s="9"/>
      <c r="G6" s="10" t="s">
        <v>1</v>
      </c>
      <c r="H6" s="8" t="s">
        <v>2</v>
      </c>
      <c r="I6" s="9"/>
      <c r="J6" s="9"/>
    </row>
    <row r="7" spans="1:11" x14ac:dyDescent="0.2">
      <c r="A7" s="7" t="s">
        <v>3</v>
      </c>
      <c r="B7" s="7"/>
      <c r="C7" s="8" t="s">
        <v>4</v>
      </c>
      <c r="D7" s="9"/>
      <c r="E7" s="9"/>
      <c r="F7" s="9"/>
      <c r="G7" s="10" t="s">
        <v>5</v>
      </c>
      <c r="H7" s="8" t="s">
        <v>6</v>
      </c>
      <c r="I7" s="9"/>
      <c r="J7" s="9"/>
    </row>
    <row r="8" spans="1:11" x14ac:dyDescent="0.2">
      <c r="A8" s="7" t="s">
        <v>7</v>
      </c>
      <c r="B8" s="7"/>
      <c r="C8" s="8" t="s">
        <v>36</v>
      </c>
      <c r="D8" s="9"/>
      <c r="E8" s="9"/>
      <c r="F8" s="9"/>
      <c r="G8" s="10" t="s">
        <v>8</v>
      </c>
      <c r="H8" s="8" t="s">
        <v>36</v>
      </c>
      <c r="I8" s="9"/>
      <c r="J8" s="9"/>
    </row>
    <row r="9" spans="1:11" x14ac:dyDescent="0.2">
      <c r="A9" s="11" t="s">
        <v>29</v>
      </c>
      <c r="B9" s="11"/>
      <c r="C9" s="12"/>
      <c r="D9" s="12"/>
      <c r="E9" s="12"/>
      <c r="F9" s="12"/>
      <c r="G9" s="12"/>
      <c r="H9" s="12"/>
      <c r="I9" s="12"/>
      <c r="J9" s="12"/>
    </row>
    <row r="10" spans="1:11" ht="12.75" x14ac:dyDescent="0.2">
      <c r="A10" s="13" t="s">
        <v>9</v>
      </c>
      <c r="B10" s="13"/>
      <c r="C10" s="14"/>
      <c r="D10" s="14"/>
      <c r="E10" s="14"/>
      <c r="F10" s="14"/>
      <c r="G10" s="14"/>
      <c r="H10" s="14"/>
      <c r="I10" s="14"/>
      <c r="J10" s="14"/>
    </row>
    <row r="11" spans="1:11" x14ac:dyDescent="0.2">
      <c r="A11" s="15" t="s">
        <v>10</v>
      </c>
      <c r="B11" s="15"/>
      <c r="C11" s="16" t="s">
        <v>260</v>
      </c>
    </row>
    <row r="12" spans="1:11" x14ac:dyDescent="0.2">
      <c r="A12" s="15" t="s">
        <v>11</v>
      </c>
      <c r="B12" s="15"/>
      <c r="C12" s="3" t="s">
        <v>12</v>
      </c>
      <c r="G12" s="15"/>
      <c r="I12" s="15" t="s">
        <v>13</v>
      </c>
    </row>
    <row r="13" spans="1:11" x14ac:dyDescent="0.2">
      <c r="A13" s="15" t="s">
        <v>14</v>
      </c>
      <c r="B13" s="15"/>
      <c r="C13" s="16" t="s">
        <v>227</v>
      </c>
      <c r="G13" s="15"/>
      <c r="I13" s="15" t="s">
        <v>15</v>
      </c>
    </row>
    <row r="14" spans="1:11" x14ac:dyDescent="0.2">
      <c r="A14" s="15" t="s">
        <v>16</v>
      </c>
      <c r="B14" s="15"/>
      <c r="C14" s="17">
        <f>J35</f>
        <v>215260.18239999999</v>
      </c>
      <c r="E14" s="15" t="s">
        <v>17</v>
      </c>
      <c r="F14" s="3" t="s">
        <v>18</v>
      </c>
      <c r="G14" s="15"/>
      <c r="I14" s="15"/>
      <c r="J14" s="18"/>
    </row>
    <row r="15" spans="1:11" x14ac:dyDescent="0.2">
      <c r="A15" s="19" t="s">
        <v>19</v>
      </c>
      <c r="B15" s="20"/>
      <c r="C15" s="21" t="s">
        <v>20</v>
      </c>
      <c r="D15" s="21"/>
      <c r="E15" s="21"/>
      <c r="F15" s="20"/>
      <c r="G15" s="22" t="s">
        <v>21</v>
      </c>
      <c r="H15" s="23" t="s">
        <v>22</v>
      </c>
      <c r="I15" s="23" t="s">
        <v>23</v>
      </c>
      <c r="J15" s="23" t="s">
        <v>24</v>
      </c>
    </row>
    <row r="16" spans="1:11" x14ac:dyDescent="0.2">
      <c r="A16" s="24" t="s">
        <v>25</v>
      </c>
      <c r="B16" s="25"/>
      <c r="C16" s="26"/>
      <c r="D16" s="26"/>
      <c r="E16" s="26"/>
      <c r="F16" s="26"/>
      <c r="G16" s="26"/>
      <c r="H16" s="27"/>
      <c r="I16" s="27"/>
      <c r="J16" s="28"/>
      <c r="K16" s="3" t="s">
        <v>77</v>
      </c>
    </row>
    <row r="17" spans="1:11" s="29" customFormat="1" ht="147.75" customHeight="1" x14ac:dyDescent="0.25">
      <c r="A17" s="55" t="s">
        <v>28</v>
      </c>
      <c r="B17" s="56"/>
      <c r="C17" s="157" t="s">
        <v>261</v>
      </c>
      <c r="D17" s="158"/>
      <c r="E17" s="158"/>
      <c r="F17" s="158"/>
      <c r="G17" s="57" t="s">
        <v>46</v>
      </c>
      <c r="H17" s="58">
        <v>974.2</v>
      </c>
      <c r="I17" s="59">
        <v>35.15</v>
      </c>
      <c r="J17" s="60">
        <f>I17*H17</f>
        <v>34243.129999999997</v>
      </c>
      <c r="K17" s="29">
        <v>30000</v>
      </c>
    </row>
    <row r="18" spans="1:11" s="29" customFormat="1" ht="103.5" customHeight="1" x14ac:dyDescent="0.25">
      <c r="A18" s="55" t="s">
        <v>30</v>
      </c>
      <c r="B18" s="56"/>
      <c r="C18" s="157" t="s">
        <v>262</v>
      </c>
      <c r="D18" s="158"/>
      <c r="E18" s="158"/>
      <c r="F18" s="158"/>
      <c r="G18" s="57" t="s">
        <v>46</v>
      </c>
      <c r="H18" s="58">
        <v>974.2</v>
      </c>
      <c r="I18" s="59">
        <v>110.23</v>
      </c>
      <c r="J18" s="60">
        <f>I18*H18</f>
        <v>107386.06600000001</v>
      </c>
    </row>
    <row r="19" spans="1:11" s="29" customFormat="1" ht="57.75" customHeight="1" x14ac:dyDescent="0.25">
      <c r="A19" s="55" t="s">
        <v>31</v>
      </c>
      <c r="B19" s="56"/>
      <c r="C19" s="158" t="s">
        <v>263</v>
      </c>
      <c r="D19" s="158"/>
      <c r="E19" s="158"/>
      <c r="F19" s="158"/>
      <c r="G19" s="57" t="s">
        <v>47</v>
      </c>
      <c r="H19" s="58">
        <v>4.38</v>
      </c>
      <c r="I19" s="59">
        <v>495</v>
      </c>
      <c r="J19" s="60">
        <f>I19*H19</f>
        <v>2168.1</v>
      </c>
    </row>
    <row r="20" spans="1:11" s="29" customFormat="1" ht="104.25" customHeight="1" x14ac:dyDescent="0.25">
      <c r="A20" s="55" t="s">
        <v>32</v>
      </c>
      <c r="B20" s="56"/>
      <c r="C20" s="168" t="s">
        <v>264</v>
      </c>
      <c r="D20" s="169"/>
      <c r="E20" s="169"/>
      <c r="F20" s="170"/>
      <c r="G20" s="57" t="s">
        <v>46</v>
      </c>
      <c r="H20" s="58">
        <v>258.77</v>
      </c>
      <c r="I20" s="59">
        <v>24.32</v>
      </c>
      <c r="J20" s="60">
        <f>I20*H20</f>
        <v>6293.2864</v>
      </c>
    </row>
    <row r="21" spans="1:11" s="29" customFormat="1" ht="108.75" customHeight="1" x14ac:dyDescent="0.25">
      <c r="A21" s="55" t="s">
        <v>37</v>
      </c>
      <c r="B21" s="56"/>
      <c r="C21" s="157" t="s">
        <v>265</v>
      </c>
      <c r="D21" s="158"/>
      <c r="E21" s="158"/>
      <c r="F21" s="158"/>
      <c r="G21" s="57" t="s">
        <v>46</v>
      </c>
      <c r="H21" s="58">
        <v>258.77</v>
      </c>
      <c r="I21" s="59">
        <v>65</v>
      </c>
      <c r="J21" s="60">
        <f>I21*H21</f>
        <v>16820.05</v>
      </c>
    </row>
    <row r="22" spans="1:11" s="29" customFormat="1" ht="111" customHeight="1" x14ac:dyDescent="0.25">
      <c r="A22" s="75" t="s">
        <v>38</v>
      </c>
      <c r="B22" s="68"/>
      <c r="C22" s="158" t="s">
        <v>266</v>
      </c>
      <c r="D22" s="158"/>
      <c r="E22" s="158"/>
      <c r="F22" s="158"/>
      <c r="G22" s="57" t="s">
        <v>46</v>
      </c>
      <c r="H22" s="58">
        <v>16.25</v>
      </c>
      <c r="I22" s="67">
        <v>456</v>
      </c>
      <c r="J22" s="60">
        <f>H22*I22</f>
        <v>7410</v>
      </c>
    </row>
    <row r="23" spans="1:11" s="96" customFormat="1" ht="125.25" customHeight="1" x14ac:dyDescent="0.25">
      <c r="A23" s="75" t="s">
        <v>38</v>
      </c>
      <c r="B23" s="56"/>
      <c r="C23" s="168" t="s">
        <v>267</v>
      </c>
      <c r="D23" s="169"/>
      <c r="E23" s="169"/>
      <c r="F23" s="170"/>
      <c r="G23" s="57" t="s">
        <v>46</v>
      </c>
      <c r="H23" s="58">
        <v>17.690000000000001</v>
      </c>
      <c r="I23" s="59">
        <v>485</v>
      </c>
      <c r="J23" s="60">
        <f t="shared" ref="J23:J26" si="0">H23*I23</f>
        <v>8579.6500000000015</v>
      </c>
      <c r="K23" s="95">
        <v>10000</v>
      </c>
    </row>
    <row r="24" spans="1:11" s="96" customFormat="1" ht="113.25" customHeight="1" x14ac:dyDescent="0.25">
      <c r="A24" s="75" t="s">
        <v>39</v>
      </c>
      <c r="B24" s="56"/>
      <c r="C24" s="168" t="s">
        <v>268</v>
      </c>
      <c r="D24" s="169"/>
      <c r="E24" s="169"/>
      <c r="F24" s="170"/>
      <c r="G24" s="57" t="s">
        <v>269</v>
      </c>
      <c r="H24" s="58">
        <v>37</v>
      </c>
      <c r="I24" s="59">
        <v>65.3</v>
      </c>
      <c r="J24" s="60">
        <f t="shared" si="0"/>
        <v>2416.1</v>
      </c>
      <c r="K24" s="95">
        <v>10000</v>
      </c>
    </row>
    <row r="25" spans="1:11" s="96" customFormat="1" ht="113.25" customHeight="1" x14ac:dyDescent="0.25">
      <c r="A25" s="75" t="s">
        <v>39</v>
      </c>
      <c r="B25" s="56"/>
      <c r="C25" s="168" t="s">
        <v>270</v>
      </c>
      <c r="D25" s="169"/>
      <c r="E25" s="169"/>
      <c r="F25" s="170"/>
      <c r="G25" s="57" t="s">
        <v>269</v>
      </c>
      <c r="H25" s="58">
        <v>18</v>
      </c>
      <c r="I25" s="59">
        <v>78.3</v>
      </c>
      <c r="J25" s="60">
        <f t="shared" si="0"/>
        <v>1409.3999999999999</v>
      </c>
      <c r="K25" s="95">
        <v>10000</v>
      </c>
    </row>
    <row r="26" spans="1:11" s="96" customFormat="1" ht="113.25" customHeight="1" x14ac:dyDescent="0.25">
      <c r="A26" s="75" t="s">
        <v>40</v>
      </c>
      <c r="B26" s="56"/>
      <c r="C26" s="168" t="s">
        <v>409</v>
      </c>
      <c r="D26" s="169"/>
      <c r="E26" s="169"/>
      <c r="F26" s="170"/>
      <c r="G26" s="57" t="s">
        <v>269</v>
      </c>
      <c r="H26" s="58">
        <v>18</v>
      </c>
      <c r="I26" s="59">
        <v>86.3</v>
      </c>
      <c r="J26" s="60">
        <f t="shared" si="0"/>
        <v>1553.3999999999999</v>
      </c>
      <c r="K26" s="95">
        <v>10000</v>
      </c>
    </row>
    <row r="27" spans="1:11" s="29" customFormat="1" ht="159" customHeight="1" x14ac:dyDescent="0.25">
      <c r="A27" s="55" t="s">
        <v>41</v>
      </c>
      <c r="B27" s="56"/>
      <c r="C27" s="158" t="s">
        <v>410</v>
      </c>
      <c r="D27" s="158"/>
      <c r="E27" s="158"/>
      <c r="F27" s="158"/>
      <c r="G27" s="57" t="s">
        <v>49</v>
      </c>
      <c r="H27" s="58">
        <v>9</v>
      </c>
      <c r="I27" s="59">
        <v>586</v>
      </c>
      <c r="J27" s="60">
        <f>H27*I27</f>
        <v>5274</v>
      </c>
    </row>
    <row r="28" spans="1:11" s="29" customFormat="1" ht="183" customHeight="1" x14ac:dyDescent="0.25">
      <c r="A28" s="55" t="s">
        <v>42</v>
      </c>
      <c r="B28" s="56"/>
      <c r="C28" s="158" t="s">
        <v>271</v>
      </c>
      <c r="D28" s="158"/>
      <c r="E28" s="158"/>
      <c r="F28" s="158"/>
      <c r="G28" s="57" t="s">
        <v>49</v>
      </c>
      <c r="H28" s="58">
        <v>29</v>
      </c>
      <c r="I28" s="59">
        <v>715</v>
      </c>
      <c r="J28" s="60">
        <f>H28*I28</f>
        <v>20735</v>
      </c>
    </row>
    <row r="29" spans="1:11" s="29" customFormat="1" ht="147.75" customHeight="1" x14ac:dyDescent="0.25">
      <c r="A29" s="55" t="s">
        <v>43</v>
      </c>
      <c r="B29" s="56"/>
      <c r="C29" s="158" t="s">
        <v>411</v>
      </c>
      <c r="D29" s="158"/>
      <c r="E29" s="158"/>
      <c r="F29" s="158"/>
      <c r="G29" s="57" t="s">
        <v>49</v>
      </c>
      <c r="H29" s="58">
        <v>6</v>
      </c>
      <c r="I29" s="59">
        <v>162</v>
      </c>
      <c r="J29" s="60">
        <f>H29*I29</f>
        <v>972</v>
      </c>
    </row>
    <row r="30" spans="1:11" s="29" customFormat="1" ht="12.75" x14ac:dyDescent="0.25">
      <c r="A30" s="55"/>
      <c r="B30" s="68"/>
      <c r="C30" s="154"/>
      <c r="D30" s="155"/>
      <c r="E30" s="155"/>
      <c r="F30" s="156"/>
      <c r="G30" s="57"/>
      <c r="H30" s="58"/>
      <c r="I30" s="67"/>
      <c r="J30" s="60"/>
    </row>
    <row r="31" spans="1:11" s="29" customFormat="1" ht="12.75" x14ac:dyDescent="0.25">
      <c r="A31" s="55"/>
      <c r="B31" s="68"/>
      <c r="C31" s="158"/>
      <c r="D31" s="158"/>
      <c r="E31" s="158"/>
      <c r="F31" s="158"/>
      <c r="G31" s="57"/>
      <c r="H31" s="58"/>
      <c r="I31" s="67"/>
      <c r="J31" s="60"/>
    </row>
    <row r="32" spans="1:11" s="29" customFormat="1" x14ac:dyDescent="0.25">
      <c r="A32" s="55"/>
      <c r="B32" s="56"/>
      <c r="C32" s="133"/>
      <c r="D32" s="131"/>
      <c r="E32" s="131"/>
      <c r="F32" s="132"/>
      <c r="G32" s="57"/>
      <c r="H32" s="58"/>
      <c r="I32" s="59"/>
      <c r="J32" s="60"/>
    </row>
    <row r="33" spans="1:10" s="29" customFormat="1" ht="12" thickBot="1" x14ac:dyDescent="0.3">
      <c r="A33" s="30"/>
      <c r="B33" s="31"/>
      <c r="C33" s="162"/>
      <c r="D33" s="162"/>
      <c r="E33" s="162"/>
      <c r="F33" s="162"/>
      <c r="G33" s="32"/>
      <c r="H33" s="33"/>
      <c r="I33" s="34" t="s">
        <v>26</v>
      </c>
      <c r="J33" s="35">
        <f>SUM(J17:J31)</f>
        <v>215260.18239999999</v>
      </c>
    </row>
    <row r="34" spans="1:10" x14ac:dyDescent="0.2">
      <c r="A34" s="39"/>
      <c r="B34" s="40"/>
      <c r="C34" s="40"/>
      <c r="D34" s="40"/>
      <c r="E34" s="40"/>
      <c r="F34" s="41"/>
      <c r="G34" s="48"/>
      <c r="H34" s="49"/>
      <c r="I34" s="50"/>
      <c r="J34" s="36"/>
    </row>
    <row r="35" spans="1:10" x14ac:dyDescent="0.2">
      <c r="A35" s="42" t="s">
        <v>27</v>
      </c>
      <c r="B35" s="21"/>
      <c r="C35" s="43"/>
      <c r="D35" s="43"/>
      <c r="E35" s="43"/>
      <c r="F35" s="44"/>
      <c r="G35" s="51"/>
      <c r="H35" s="52"/>
      <c r="I35" s="53"/>
      <c r="J35" s="37">
        <f>J33</f>
        <v>215260.18239999999</v>
      </c>
    </row>
    <row r="36" spans="1:10" ht="12" thickBot="1" x14ac:dyDescent="0.25">
      <c r="A36" s="45"/>
      <c r="B36" s="46"/>
      <c r="C36" s="46"/>
      <c r="D36" s="46"/>
      <c r="E36" s="46"/>
      <c r="F36" s="47"/>
      <c r="G36" s="54"/>
      <c r="H36" s="46"/>
      <c r="I36" s="47"/>
      <c r="J36" s="38"/>
    </row>
    <row r="37" spans="1:10" s="64" customFormat="1" x14ac:dyDescent="0.25">
      <c r="A37" s="61"/>
      <c r="B37" s="61"/>
      <c r="C37" s="62"/>
      <c r="D37" s="63"/>
      <c r="E37" s="63"/>
      <c r="F37" s="63"/>
      <c r="H37" s="65"/>
      <c r="I37" s="66"/>
      <c r="J37" s="66"/>
    </row>
    <row r="38" spans="1:10" s="64" customFormat="1" x14ac:dyDescent="0.25">
      <c r="A38" s="61" t="s">
        <v>66</v>
      </c>
      <c r="B38" s="61" t="s">
        <v>67</v>
      </c>
      <c r="C38" s="62"/>
      <c r="D38" s="63"/>
      <c r="E38" s="63"/>
      <c r="F38" s="63"/>
      <c r="H38" s="65"/>
      <c r="I38" s="66"/>
      <c r="J38" s="66"/>
    </row>
    <row r="39" spans="1:10" s="64" customFormat="1" x14ac:dyDescent="0.25">
      <c r="A39" s="61"/>
      <c r="B39" s="61"/>
      <c r="C39" s="62"/>
      <c r="D39" s="63"/>
      <c r="E39" s="63"/>
      <c r="F39" s="63"/>
      <c r="H39" s="65"/>
      <c r="I39" s="66"/>
      <c r="J39" s="66"/>
    </row>
    <row r="40" spans="1:10" s="64" customFormat="1" x14ac:dyDescent="0.25">
      <c r="A40" s="61"/>
      <c r="B40" s="61"/>
      <c r="C40" s="62"/>
      <c r="D40" s="63"/>
      <c r="E40" s="63"/>
      <c r="F40" s="63"/>
      <c r="H40" s="65"/>
      <c r="I40" s="66"/>
      <c r="J40" s="66"/>
    </row>
    <row r="41" spans="1:10" s="64" customFormat="1" x14ac:dyDescent="0.25">
      <c r="A41" s="61"/>
      <c r="B41" s="61"/>
      <c r="C41" s="62"/>
      <c r="D41" s="63"/>
      <c r="E41" s="63"/>
      <c r="F41" s="63"/>
      <c r="H41" s="65"/>
      <c r="I41" s="66"/>
      <c r="J41" s="66"/>
    </row>
    <row r="42" spans="1:10" s="64" customFormat="1" x14ac:dyDescent="0.25">
      <c r="A42" s="61"/>
      <c r="B42" s="61"/>
      <c r="C42" s="62"/>
      <c r="D42" s="63"/>
      <c r="E42" s="63"/>
      <c r="F42" s="63"/>
      <c r="H42" s="65"/>
      <c r="I42" s="66"/>
      <c r="J42" s="66"/>
    </row>
    <row r="43" spans="1:10" s="64" customFormat="1" x14ac:dyDescent="0.25">
      <c r="A43" s="61"/>
      <c r="B43" s="61"/>
      <c r="C43" s="62"/>
      <c r="D43" s="63"/>
      <c r="E43" s="63"/>
      <c r="F43" s="63"/>
      <c r="H43" s="65"/>
      <c r="I43" s="66"/>
      <c r="J43" s="66"/>
    </row>
    <row r="44" spans="1:10" s="64" customFormat="1" x14ac:dyDescent="0.25">
      <c r="A44" s="61"/>
      <c r="B44" s="61"/>
      <c r="C44" s="62"/>
      <c r="D44" s="63"/>
      <c r="E44" s="63"/>
      <c r="F44" s="63"/>
      <c r="H44" s="65"/>
      <c r="I44" s="66"/>
      <c r="J44" s="66"/>
    </row>
    <row r="45" spans="1:10" s="64" customFormat="1" x14ac:dyDescent="0.25">
      <c r="A45" s="61"/>
      <c r="B45" s="61"/>
      <c r="C45" s="62"/>
      <c r="D45" s="63"/>
      <c r="E45" s="63"/>
      <c r="F45" s="63"/>
      <c r="H45" s="65"/>
      <c r="I45" s="66"/>
      <c r="J45" s="66"/>
    </row>
    <row r="46" spans="1:10" s="64" customFormat="1" x14ac:dyDescent="0.25">
      <c r="A46" s="61"/>
      <c r="B46" s="61"/>
      <c r="C46" s="62"/>
      <c r="D46" s="63"/>
      <c r="E46" s="63"/>
      <c r="F46" s="63"/>
      <c r="H46" s="65"/>
      <c r="I46" s="66"/>
      <c r="J46" s="66"/>
    </row>
    <row r="47" spans="1:10" s="64" customFormat="1" x14ac:dyDescent="0.25">
      <c r="A47" s="61"/>
      <c r="B47" s="61"/>
      <c r="C47" s="62"/>
      <c r="D47" s="63"/>
      <c r="E47" s="63"/>
      <c r="F47" s="63"/>
      <c r="H47" s="65"/>
      <c r="I47" s="66"/>
      <c r="J47" s="66"/>
    </row>
    <row r="48" spans="1:10" s="64" customFormat="1" x14ac:dyDescent="0.25">
      <c r="A48" s="61"/>
      <c r="B48" s="61"/>
      <c r="C48" s="62"/>
      <c r="D48" s="63"/>
      <c r="E48" s="63"/>
      <c r="F48" s="63"/>
      <c r="H48" s="65"/>
      <c r="I48" s="66"/>
      <c r="J48" s="66"/>
    </row>
    <row r="49" spans="1:10" s="64" customFormat="1" x14ac:dyDescent="0.25">
      <c r="A49" s="61"/>
      <c r="B49" s="61"/>
      <c r="C49" s="62"/>
      <c r="D49" s="63"/>
      <c r="E49" s="63"/>
      <c r="F49" s="63"/>
      <c r="H49" s="65"/>
      <c r="I49" s="66"/>
      <c r="J49" s="66"/>
    </row>
    <row r="50" spans="1:10" s="64" customFormat="1" x14ac:dyDescent="0.25">
      <c r="A50" s="61"/>
      <c r="B50" s="61"/>
      <c r="C50" s="62"/>
      <c r="D50" s="63"/>
      <c r="E50" s="63"/>
      <c r="F50" s="63"/>
      <c r="H50" s="65"/>
      <c r="I50" s="66"/>
      <c r="J50" s="66"/>
    </row>
    <row r="51" spans="1:10" s="64" customFormat="1" x14ac:dyDescent="0.25">
      <c r="A51" s="61"/>
      <c r="B51" s="61"/>
      <c r="C51" s="62"/>
      <c r="D51" s="63"/>
      <c r="E51" s="63"/>
      <c r="F51" s="63"/>
      <c r="H51" s="65"/>
      <c r="I51" s="66"/>
      <c r="J51" s="66"/>
    </row>
    <row r="52" spans="1:10" s="64" customFormat="1" x14ac:dyDescent="0.25">
      <c r="A52" s="61"/>
      <c r="B52" s="61"/>
      <c r="C52" s="62"/>
      <c r="D52" s="63"/>
      <c r="E52" s="63"/>
      <c r="F52" s="63"/>
      <c r="H52" s="65"/>
      <c r="I52" s="66"/>
      <c r="J52" s="66"/>
    </row>
    <row r="53" spans="1:10" s="64" customFormat="1" x14ac:dyDescent="0.25">
      <c r="A53" s="61"/>
      <c r="B53" s="61"/>
      <c r="C53" s="62"/>
      <c r="D53" s="63"/>
      <c r="E53" s="63"/>
      <c r="F53" s="63"/>
      <c r="H53" s="65"/>
      <c r="I53" s="66"/>
      <c r="J53" s="66"/>
    </row>
    <row r="54" spans="1:10" s="64" customFormat="1" x14ac:dyDescent="0.25">
      <c r="A54" s="61"/>
      <c r="B54" s="61"/>
      <c r="C54" s="62"/>
      <c r="D54" s="63"/>
      <c r="E54" s="63"/>
      <c r="F54" s="63"/>
      <c r="H54" s="65"/>
      <c r="I54" s="66"/>
      <c r="J54" s="66"/>
    </row>
    <row r="55" spans="1:10" s="64" customFormat="1" x14ac:dyDescent="0.25">
      <c r="A55" s="61"/>
      <c r="B55" s="61"/>
      <c r="C55" s="62"/>
      <c r="D55" s="63"/>
      <c r="E55" s="63"/>
      <c r="F55" s="63"/>
      <c r="H55" s="65"/>
      <c r="I55" s="66"/>
      <c r="J55" s="66"/>
    </row>
    <row r="56" spans="1:10" s="64" customFormat="1" x14ac:dyDescent="0.25">
      <c r="A56" s="61"/>
      <c r="B56" s="61"/>
      <c r="C56" s="62"/>
      <c r="D56" s="63"/>
      <c r="E56" s="63"/>
      <c r="F56" s="63"/>
      <c r="H56" s="65"/>
      <c r="I56" s="66"/>
      <c r="J56" s="66"/>
    </row>
  </sheetData>
  <mergeCells count="16">
    <mergeCell ref="C29:F29"/>
    <mergeCell ref="C30:F30"/>
    <mergeCell ref="C31:F31"/>
    <mergeCell ref="C33:F33"/>
    <mergeCell ref="C23:F23"/>
    <mergeCell ref="C24:F24"/>
    <mergeCell ref="C25:F25"/>
    <mergeCell ref="C26:F26"/>
    <mergeCell ref="C27:F27"/>
    <mergeCell ref="C28:F28"/>
    <mergeCell ref="C22:F22"/>
    <mergeCell ref="C17:F17"/>
    <mergeCell ref="C18:F18"/>
    <mergeCell ref="C19:F19"/>
    <mergeCell ref="C20:F20"/>
    <mergeCell ref="C21:F21"/>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topLeftCell="A35" zoomScaleNormal="100" zoomScaleSheetLayoutView="100" workbookViewId="0">
      <selection activeCell="C19" sqref="C19:F19"/>
    </sheetView>
  </sheetViews>
  <sheetFormatPr baseColWidth="10" defaultColWidth="9.14062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1" width="9.140625" style="97"/>
    <col min="12" max="16384" width="9.140625" style="3"/>
  </cols>
  <sheetData>
    <row r="1" spans="1:11" ht="21" customHeight="1" x14ac:dyDescent="0.25">
      <c r="A1" s="115" t="s">
        <v>461</v>
      </c>
      <c r="B1" s="2"/>
      <c r="C1" s="2"/>
      <c r="D1" s="2"/>
      <c r="E1" s="2"/>
      <c r="F1" s="2"/>
      <c r="G1" s="2"/>
      <c r="H1" s="2"/>
      <c r="I1" s="2"/>
      <c r="J1" s="97"/>
      <c r="K1" s="3"/>
    </row>
    <row r="2" spans="1:11" ht="4.5" customHeight="1" x14ac:dyDescent="0.25">
      <c r="A2" s="116"/>
      <c r="B2" s="2"/>
      <c r="C2" s="2"/>
      <c r="D2" s="2"/>
      <c r="E2" s="2"/>
      <c r="F2" s="2"/>
      <c r="G2" s="2"/>
      <c r="H2" s="2"/>
      <c r="I2" s="2"/>
      <c r="J2" s="97"/>
      <c r="K2" s="3"/>
    </row>
    <row r="3" spans="1:11" ht="14.25" x14ac:dyDescent="0.2">
      <c r="A3" s="117" t="s">
        <v>462</v>
      </c>
      <c r="B3" s="6"/>
      <c r="C3" s="6"/>
      <c r="D3" s="6"/>
      <c r="E3" s="6"/>
      <c r="F3" s="6"/>
      <c r="G3" s="6"/>
      <c r="H3" s="6"/>
      <c r="I3" s="6"/>
      <c r="J3" s="97"/>
      <c r="K3" s="3"/>
    </row>
    <row r="4" spans="1:11" ht="15" x14ac:dyDescent="0.2">
      <c r="A4" s="5" t="s">
        <v>463</v>
      </c>
      <c r="B4" s="6"/>
      <c r="C4" s="6"/>
      <c r="D4" s="6"/>
      <c r="E4" s="6"/>
      <c r="F4" s="6"/>
      <c r="G4" s="6"/>
      <c r="H4" s="6"/>
      <c r="I4" s="6"/>
      <c r="J4" s="97"/>
      <c r="K4" s="3"/>
    </row>
    <row r="5" spans="1:11" x14ac:dyDescent="0.2">
      <c r="A5" s="7" t="s">
        <v>0</v>
      </c>
      <c r="B5" s="7"/>
      <c r="C5" s="8" t="s">
        <v>277</v>
      </c>
      <c r="D5" s="9"/>
      <c r="E5" s="9"/>
      <c r="F5" s="9"/>
      <c r="G5" s="10" t="s">
        <v>1</v>
      </c>
      <c r="H5" s="8" t="s">
        <v>2</v>
      </c>
      <c r="I5" s="9"/>
      <c r="J5" s="9"/>
      <c r="K5" s="3"/>
    </row>
    <row r="6" spans="1:11" x14ac:dyDescent="0.2">
      <c r="A6" s="7" t="s">
        <v>3</v>
      </c>
      <c r="B6" s="7"/>
      <c r="C6" s="8" t="s">
        <v>4</v>
      </c>
      <c r="D6" s="9"/>
      <c r="E6" s="9"/>
      <c r="F6" s="9"/>
      <c r="G6" s="10" t="s">
        <v>5</v>
      </c>
      <c r="H6" s="8" t="s">
        <v>6</v>
      </c>
      <c r="I6" s="9"/>
      <c r="J6" s="9"/>
      <c r="K6" s="3"/>
    </row>
    <row r="7" spans="1:11" x14ac:dyDescent="0.2">
      <c r="A7" s="7" t="s">
        <v>7</v>
      </c>
      <c r="B7" s="7"/>
      <c r="C7" s="8" t="s">
        <v>36</v>
      </c>
      <c r="D7" s="9"/>
      <c r="E7" s="9"/>
      <c r="F7" s="9"/>
      <c r="G7" s="10" t="s">
        <v>8</v>
      </c>
      <c r="H7" s="8" t="s">
        <v>36</v>
      </c>
      <c r="I7" s="9"/>
      <c r="J7" s="9"/>
      <c r="K7" s="3"/>
    </row>
    <row r="8" spans="1:11" x14ac:dyDescent="0.2">
      <c r="A8" s="11" t="s">
        <v>29</v>
      </c>
      <c r="B8" s="11"/>
      <c r="C8" s="12"/>
      <c r="D8" s="12"/>
      <c r="E8" s="12"/>
      <c r="F8" s="12"/>
      <c r="G8" s="12"/>
      <c r="H8" s="12"/>
      <c r="I8" s="12"/>
      <c r="J8" s="12"/>
      <c r="K8" s="3"/>
    </row>
    <row r="9" spans="1:11" ht="12.75" x14ac:dyDescent="0.2">
      <c r="A9" s="13" t="s">
        <v>9</v>
      </c>
      <c r="B9" s="13"/>
      <c r="C9" s="14"/>
      <c r="D9" s="14"/>
      <c r="E9" s="14"/>
      <c r="F9" s="14"/>
      <c r="G9" s="14"/>
      <c r="H9" s="14"/>
      <c r="I9" s="14"/>
      <c r="J9" s="14"/>
      <c r="K9" s="3"/>
    </row>
    <row r="10" spans="1:11" x14ac:dyDescent="0.2">
      <c r="A10" s="15" t="s">
        <v>10</v>
      </c>
      <c r="B10" s="15"/>
      <c r="C10" s="16" t="s">
        <v>277</v>
      </c>
      <c r="K10" s="3"/>
    </row>
    <row r="11" spans="1:11" x14ac:dyDescent="0.2">
      <c r="A11" s="15" t="s">
        <v>11</v>
      </c>
      <c r="B11" s="15"/>
      <c r="C11" s="3" t="s">
        <v>12</v>
      </c>
      <c r="G11" s="15"/>
      <c r="I11" s="15" t="s">
        <v>13</v>
      </c>
      <c r="K11" s="3"/>
    </row>
    <row r="12" spans="1:11" x14ac:dyDescent="0.2">
      <c r="A12" s="15" t="s">
        <v>14</v>
      </c>
      <c r="B12" s="15"/>
      <c r="C12" s="16" t="s">
        <v>278</v>
      </c>
      <c r="G12" s="15"/>
      <c r="I12" s="15" t="s">
        <v>15</v>
      </c>
      <c r="K12" s="3"/>
    </row>
    <row r="13" spans="1:11" x14ac:dyDescent="0.2">
      <c r="A13" s="15" t="s">
        <v>16</v>
      </c>
      <c r="B13" s="15"/>
      <c r="C13" s="17">
        <f>J42</f>
        <v>113220.62260163935</v>
      </c>
      <c r="E13" s="15" t="s">
        <v>17</v>
      </c>
      <c r="F13" s="3" t="s">
        <v>18</v>
      </c>
      <c r="G13" s="15"/>
      <c r="I13" s="15"/>
      <c r="J13" s="18"/>
      <c r="K13" s="3"/>
    </row>
    <row r="14" spans="1:11" x14ac:dyDescent="0.2">
      <c r="A14" s="19" t="s">
        <v>19</v>
      </c>
      <c r="B14" s="20"/>
      <c r="C14" s="21" t="s">
        <v>20</v>
      </c>
      <c r="D14" s="21"/>
      <c r="E14" s="21"/>
      <c r="F14" s="20"/>
      <c r="G14" s="22" t="s">
        <v>21</v>
      </c>
      <c r="H14" s="23" t="s">
        <v>22</v>
      </c>
      <c r="I14" s="23" t="s">
        <v>23</v>
      </c>
      <c r="J14" s="23" t="s">
        <v>24</v>
      </c>
      <c r="K14" s="3"/>
    </row>
    <row r="15" spans="1:11" x14ac:dyDescent="0.2">
      <c r="A15" s="24" t="s">
        <v>25</v>
      </c>
      <c r="B15" s="25"/>
      <c r="C15" s="26"/>
      <c r="D15" s="26"/>
      <c r="E15" s="26"/>
      <c r="F15" s="26"/>
      <c r="G15" s="26"/>
      <c r="H15" s="27"/>
      <c r="I15" s="27"/>
      <c r="J15" s="28"/>
      <c r="K15" s="3"/>
    </row>
    <row r="16" spans="1:11" s="29" customFormat="1" ht="88.5" customHeight="1" x14ac:dyDescent="0.25">
      <c r="A16" s="76" t="s">
        <v>28</v>
      </c>
      <c r="B16" s="31"/>
      <c r="C16" s="158" t="s">
        <v>279</v>
      </c>
      <c r="D16" s="158"/>
      <c r="E16" s="158"/>
      <c r="F16" s="158"/>
      <c r="G16" s="32" t="s">
        <v>49</v>
      </c>
      <c r="H16" s="33">
        <v>3</v>
      </c>
      <c r="I16" s="34">
        <v>115</v>
      </c>
      <c r="J16" s="35">
        <f>I16*H16</f>
        <v>345</v>
      </c>
    </row>
    <row r="17" spans="1:11" s="29" customFormat="1" ht="125.25" customHeight="1" x14ac:dyDescent="0.25">
      <c r="A17" s="76" t="s">
        <v>30</v>
      </c>
      <c r="B17" s="31"/>
      <c r="C17" s="158" t="s">
        <v>280</v>
      </c>
      <c r="D17" s="158"/>
      <c r="E17" s="158"/>
      <c r="F17" s="158"/>
      <c r="G17" s="32" t="s">
        <v>46</v>
      </c>
      <c r="H17" s="33">
        <v>25.03</v>
      </c>
      <c r="I17" s="34">
        <v>115</v>
      </c>
      <c r="J17" s="35">
        <f>I17*H17</f>
        <v>2878.4500000000003</v>
      </c>
    </row>
    <row r="18" spans="1:11" s="29" customFormat="1" ht="102" customHeight="1" x14ac:dyDescent="0.25">
      <c r="A18" s="76" t="s">
        <v>31</v>
      </c>
      <c r="B18" s="31"/>
      <c r="C18" s="171" t="s">
        <v>281</v>
      </c>
      <c r="D18" s="162"/>
      <c r="E18" s="162"/>
      <c r="F18" s="162"/>
      <c r="G18" s="32" t="s">
        <v>46</v>
      </c>
      <c r="H18" s="33">
        <v>38.71</v>
      </c>
      <c r="I18" s="34">
        <v>24.32</v>
      </c>
      <c r="J18" s="35">
        <f>I18*H18</f>
        <v>941.42720000000008</v>
      </c>
    </row>
    <row r="19" spans="1:11" s="29" customFormat="1" ht="59.25" customHeight="1" x14ac:dyDescent="0.25">
      <c r="A19" s="75" t="s">
        <v>32</v>
      </c>
      <c r="B19" s="56"/>
      <c r="C19" s="158" t="s">
        <v>282</v>
      </c>
      <c r="D19" s="158"/>
      <c r="E19" s="158"/>
      <c r="F19" s="158"/>
      <c r="G19" s="57" t="s">
        <v>47</v>
      </c>
      <c r="H19" s="58">
        <v>2.81</v>
      </c>
      <c r="I19" s="59">
        <v>495</v>
      </c>
      <c r="J19" s="60">
        <f>I19*H19</f>
        <v>1390.95</v>
      </c>
    </row>
    <row r="20" spans="1:11" s="96" customFormat="1" ht="152.25" customHeight="1" x14ac:dyDescent="0.25">
      <c r="A20" s="75" t="s">
        <v>33</v>
      </c>
      <c r="B20" s="56"/>
      <c r="C20" s="168" t="s">
        <v>283</v>
      </c>
      <c r="D20" s="169"/>
      <c r="E20" s="169"/>
      <c r="F20" s="170"/>
      <c r="G20" s="57" t="s">
        <v>46</v>
      </c>
      <c r="H20" s="58">
        <v>24.8</v>
      </c>
      <c r="I20" s="59">
        <v>485</v>
      </c>
      <c r="J20" s="60">
        <f t="shared" ref="J20" si="0">H20*I20</f>
        <v>12028</v>
      </c>
      <c r="K20" s="95"/>
    </row>
    <row r="21" spans="1:11" s="29" customFormat="1" ht="103.5" customHeight="1" x14ac:dyDescent="0.25">
      <c r="A21" s="75" t="s">
        <v>37</v>
      </c>
      <c r="B21" s="56"/>
      <c r="C21" s="158" t="s">
        <v>284</v>
      </c>
      <c r="D21" s="158"/>
      <c r="E21" s="158"/>
      <c r="F21" s="158"/>
      <c r="G21" s="57" t="s">
        <v>49</v>
      </c>
      <c r="H21" s="58">
        <v>1</v>
      </c>
      <c r="I21" s="59">
        <v>240</v>
      </c>
      <c r="J21" s="60">
        <f t="shared" ref="J21" si="1">I21*H21</f>
        <v>240</v>
      </c>
    </row>
    <row r="22" spans="1:11" s="29" customFormat="1" ht="113.25" customHeight="1" x14ac:dyDescent="0.25">
      <c r="A22" s="75" t="s">
        <v>38</v>
      </c>
      <c r="B22" s="68"/>
      <c r="C22" s="158" t="s">
        <v>285</v>
      </c>
      <c r="D22" s="158"/>
      <c r="E22" s="158"/>
      <c r="F22" s="158"/>
      <c r="G22" s="57" t="s">
        <v>46</v>
      </c>
      <c r="H22" s="33">
        <v>38.71</v>
      </c>
      <c r="I22" s="67">
        <v>87.15</v>
      </c>
      <c r="J22" s="60">
        <f t="shared" ref="J22:J23" si="2">H22*I22</f>
        <v>3373.5765000000001</v>
      </c>
    </row>
    <row r="23" spans="1:11" s="29" customFormat="1" ht="113.25" customHeight="1" x14ac:dyDescent="0.25">
      <c r="A23" s="75" t="s">
        <v>40</v>
      </c>
      <c r="B23" s="68"/>
      <c r="C23" s="158" t="s">
        <v>286</v>
      </c>
      <c r="D23" s="158"/>
      <c r="E23" s="158"/>
      <c r="F23" s="158"/>
      <c r="G23" s="57" t="s">
        <v>46</v>
      </c>
      <c r="H23" s="58">
        <v>20.11</v>
      </c>
      <c r="I23" s="67">
        <v>45.3</v>
      </c>
      <c r="J23" s="60">
        <f t="shared" si="2"/>
        <v>910.98299999999995</v>
      </c>
    </row>
    <row r="24" spans="1:11" s="29" customFormat="1" ht="130.5" customHeight="1" x14ac:dyDescent="0.25">
      <c r="A24" s="76" t="s">
        <v>41</v>
      </c>
      <c r="B24" s="31"/>
      <c r="C24" s="163" t="s">
        <v>287</v>
      </c>
      <c r="D24" s="164"/>
      <c r="E24" s="164"/>
      <c r="F24" s="164"/>
      <c r="G24" s="32" t="s">
        <v>49</v>
      </c>
      <c r="H24" s="33">
        <v>1</v>
      </c>
      <c r="I24" s="34">
        <v>6485</v>
      </c>
      <c r="J24" s="35">
        <f t="shared" ref="J24:J38" si="3">I24*H24</f>
        <v>6485</v>
      </c>
    </row>
    <row r="25" spans="1:11" s="29" customFormat="1" ht="130.5" customHeight="1" x14ac:dyDescent="0.25">
      <c r="A25" s="75" t="s">
        <v>42</v>
      </c>
      <c r="B25" s="56"/>
      <c r="C25" s="163" t="s">
        <v>288</v>
      </c>
      <c r="D25" s="164"/>
      <c r="E25" s="164"/>
      <c r="F25" s="164"/>
      <c r="G25" s="57" t="s">
        <v>49</v>
      </c>
      <c r="H25" s="58">
        <v>1</v>
      </c>
      <c r="I25" s="59">
        <f>4200/0.61</f>
        <v>6885.2459016393441</v>
      </c>
      <c r="J25" s="60">
        <f t="shared" si="3"/>
        <v>6885.2459016393441</v>
      </c>
    </row>
    <row r="26" spans="1:11" s="29" customFormat="1" ht="135.75" customHeight="1" x14ac:dyDescent="0.25">
      <c r="A26" s="75" t="s">
        <v>43</v>
      </c>
      <c r="B26" s="56"/>
      <c r="C26" s="163" t="s">
        <v>289</v>
      </c>
      <c r="D26" s="164"/>
      <c r="E26" s="164"/>
      <c r="F26" s="164"/>
      <c r="G26" s="57" t="s">
        <v>290</v>
      </c>
      <c r="H26" s="58">
        <f>1.8*2+7.45</f>
        <v>11.05</v>
      </c>
      <c r="I26" s="59">
        <v>185</v>
      </c>
      <c r="J26" s="60">
        <f>I26*H26</f>
        <v>2044.2500000000002</v>
      </c>
    </row>
    <row r="27" spans="1:11" s="29" customFormat="1" ht="126.75" customHeight="1" x14ac:dyDescent="0.25">
      <c r="A27" s="75" t="s">
        <v>44</v>
      </c>
      <c r="B27" s="56"/>
      <c r="C27" s="163" t="s">
        <v>291</v>
      </c>
      <c r="D27" s="164"/>
      <c r="E27" s="164"/>
      <c r="F27" s="164"/>
      <c r="G27" s="57" t="s">
        <v>49</v>
      </c>
      <c r="H27" s="58">
        <v>3</v>
      </c>
      <c r="I27" s="59">
        <f>950/0.6</f>
        <v>1583.3333333333335</v>
      </c>
      <c r="J27" s="60">
        <f t="shared" si="3"/>
        <v>4750</v>
      </c>
    </row>
    <row r="28" spans="1:11" s="29" customFormat="1" ht="126.75" customHeight="1" x14ac:dyDescent="0.25">
      <c r="A28" s="55" t="s">
        <v>45</v>
      </c>
      <c r="B28" s="56"/>
      <c r="C28" s="163" t="s">
        <v>292</v>
      </c>
      <c r="D28" s="164"/>
      <c r="E28" s="164"/>
      <c r="F28" s="164"/>
      <c r="G28" s="57" t="s">
        <v>49</v>
      </c>
      <c r="H28" s="58">
        <v>3</v>
      </c>
      <c r="I28" s="59">
        <v>6432</v>
      </c>
      <c r="J28" s="60">
        <f t="shared" si="3"/>
        <v>19296</v>
      </c>
    </row>
    <row r="29" spans="1:11" s="29" customFormat="1" ht="112.5" customHeight="1" x14ac:dyDescent="0.25">
      <c r="A29" s="75" t="s">
        <v>50</v>
      </c>
      <c r="B29" s="56"/>
      <c r="C29" s="163" t="s">
        <v>130</v>
      </c>
      <c r="D29" s="164"/>
      <c r="E29" s="164"/>
      <c r="F29" s="164"/>
      <c r="G29" s="57" t="s">
        <v>49</v>
      </c>
      <c r="H29" s="58">
        <v>3</v>
      </c>
      <c r="I29" s="59">
        <v>1315</v>
      </c>
      <c r="J29" s="60">
        <f t="shared" si="3"/>
        <v>3945</v>
      </c>
    </row>
    <row r="30" spans="1:11" s="29" customFormat="1" ht="126.75" customHeight="1" x14ac:dyDescent="0.25">
      <c r="A30" s="75" t="s">
        <v>51</v>
      </c>
      <c r="B30" s="56"/>
      <c r="C30" s="163" t="s">
        <v>132</v>
      </c>
      <c r="D30" s="164"/>
      <c r="E30" s="164"/>
      <c r="F30" s="164"/>
      <c r="G30" s="57" t="s">
        <v>49</v>
      </c>
      <c r="H30" s="58">
        <v>2</v>
      </c>
      <c r="I30" s="59">
        <v>425</v>
      </c>
      <c r="J30" s="60">
        <f t="shared" si="3"/>
        <v>850</v>
      </c>
    </row>
    <row r="31" spans="1:11" s="83" customFormat="1" ht="162" customHeight="1" x14ac:dyDescent="0.25">
      <c r="A31" s="75" t="s">
        <v>52</v>
      </c>
      <c r="B31" s="88"/>
      <c r="C31" s="152" t="s">
        <v>293</v>
      </c>
      <c r="D31" s="153"/>
      <c r="E31" s="153"/>
      <c r="F31" s="153"/>
      <c r="G31" s="79" t="s">
        <v>49</v>
      </c>
      <c r="H31" s="80">
        <v>1</v>
      </c>
      <c r="I31" s="89">
        <v>6875</v>
      </c>
      <c r="J31" s="82">
        <f>I31*H31</f>
        <v>6875</v>
      </c>
    </row>
    <row r="32" spans="1:11" s="29" customFormat="1" ht="135.75" customHeight="1" x14ac:dyDescent="0.25">
      <c r="A32" s="75" t="s">
        <v>53</v>
      </c>
      <c r="B32" s="56"/>
      <c r="C32" s="158" t="s">
        <v>294</v>
      </c>
      <c r="D32" s="158"/>
      <c r="E32" s="158"/>
      <c r="F32" s="158"/>
      <c r="G32" s="57" t="s">
        <v>49</v>
      </c>
      <c r="H32" s="58">
        <v>3</v>
      </c>
      <c r="I32" s="59">
        <v>1316</v>
      </c>
      <c r="J32" s="60">
        <f>I32*H32</f>
        <v>3948</v>
      </c>
    </row>
    <row r="33" spans="1:11" s="29" customFormat="1" ht="134.25" customHeight="1" x14ac:dyDescent="0.25">
      <c r="A33" s="75" t="s">
        <v>54</v>
      </c>
      <c r="B33" s="56"/>
      <c r="C33" s="158" t="s">
        <v>295</v>
      </c>
      <c r="D33" s="158"/>
      <c r="E33" s="158"/>
      <c r="F33" s="158"/>
      <c r="G33" s="57" t="s">
        <v>49</v>
      </c>
      <c r="H33" s="58">
        <v>1</v>
      </c>
      <c r="I33" s="59">
        <v>685</v>
      </c>
      <c r="J33" s="60">
        <f t="shared" si="3"/>
        <v>685</v>
      </c>
    </row>
    <row r="34" spans="1:11" s="29" customFormat="1" ht="136.5" customHeight="1" x14ac:dyDescent="0.25">
      <c r="A34" s="75" t="s">
        <v>55</v>
      </c>
      <c r="B34" s="56"/>
      <c r="C34" s="158" t="s">
        <v>296</v>
      </c>
      <c r="D34" s="158"/>
      <c r="E34" s="158"/>
      <c r="F34" s="158"/>
      <c r="G34" s="57" t="s">
        <v>297</v>
      </c>
      <c r="H34" s="58">
        <v>4.3499999999999996</v>
      </c>
      <c r="I34" s="59">
        <v>198</v>
      </c>
      <c r="J34" s="60">
        <f t="shared" si="3"/>
        <v>861.3</v>
      </c>
    </row>
    <row r="35" spans="1:11" s="29" customFormat="1" ht="135.75" customHeight="1" x14ac:dyDescent="0.25">
      <c r="A35" s="75" t="s">
        <v>56</v>
      </c>
      <c r="B35" s="56"/>
      <c r="C35" s="158" t="s">
        <v>298</v>
      </c>
      <c r="D35" s="158"/>
      <c r="E35" s="158"/>
      <c r="F35" s="158"/>
      <c r="G35" s="57" t="s">
        <v>297</v>
      </c>
      <c r="H35" s="58">
        <v>3.88</v>
      </c>
      <c r="I35" s="59">
        <v>142</v>
      </c>
      <c r="J35" s="60">
        <f t="shared" si="3"/>
        <v>550.96</v>
      </c>
    </row>
    <row r="36" spans="1:11" s="83" customFormat="1" ht="183" customHeight="1" x14ac:dyDescent="0.25">
      <c r="A36" s="75" t="s">
        <v>57</v>
      </c>
      <c r="B36" s="88"/>
      <c r="C36" s="172" t="s">
        <v>412</v>
      </c>
      <c r="D36" s="160"/>
      <c r="E36" s="160"/>
      <c r="F36" s="161"/>
      <c r="G36" s="79" t="s">
        <v>49</v>
      </c>
      <c r="H36" s="80">
        <v>1</v>
      </c>
      <c r="I36" s="81">
        <v>19825</v>
      </c>
      <c r="J36" s="82">
        <f>I36*H36</f>
        <v>19825</v>
      </c>
    </row>
    <row r="37" spans="1:11" s="83" customFormat="1" ht="114" customHeight="1" x14ac:dyDescent="0.25">
      <c r="A37" s="75" t="s">
        <v>58</v>
      </c>
      <c r="B37" s="88"/>
      <c r="C37" s="172" t="s">
        <v>413</v>
      </c>
      <c r="D37" s="160"/>
      <c r="E37" s="160"/>
      <c r="F37" s="161"/>
      <c r="G37" s="79" t="s">
        <v>49</v>
      </c>
      <c r="H37" s="80">
        <v>25.67</v>
      </c>
      <c r="I37" s="81">
        <v>542</v>
      </c>
      <c r="J37" s="82">
        <f t="shared" si="3"/>
        <v>13913.140000000001</v>
      </c>
    </row>
    <row r="38" spans="1:11" s="83" customFormat="1" ht="135.75" customHeight="1" x14ac:dyDescent="0.25">
      <c r="A38" s="75" t="s">
        <v>59</v>
      </c>
      <c r="B38" s="88"/>
      <c r="C38" s="172" t="s">
        <v>299</v>
      </c>
      <c r="D38" s="160"/>
      <c r="E38" s="160"/>
      <c r="F38" s="161"/>
      <c r="G38" s="79" t="s">
        <v>46</v>
      </c>
      <c r="H38" s="80">
        <v>2.11</v>
      </c>
      <c r="I38" s="81">
        <v>94</v>
      </c>
      <c r="J38" s="82">
        <f t="shared" si="3"/>
        <v>198.33999999999997</v>
      </c>
    </row>
    <row r="39" spans="1:11" s="29" customFormat="1" x14ac:dyDescent="0.25">
      <c r="A39" s="76"/>
      <c r="B39" s="31"/>
      <c r="C39" s="172"/>
      <c r="D39" s="160"/>
      <c r="E39" s="160"/>
      <c r="F39" s="161"/>
      <c r="G39" s="32"/>
      <c r="H39" s="33"/>
      <c r="I39" s="34"/>
      <c r="J39" s="35"/>
    </row>
    <row r="40" spans="1:11" s="29" customFormat="1" ht="12" thickBot="1" x14ac:dyDescent="0.3">
      <c r="A40" s="30"/>
      <c r="B40" s="31"/>
      <c r="C40" s="162"/>
      <c r="D40" s="162"/>
      <c r="E40" s="162"/>
      <c r="F40" s="162"/>
      <c r="G40" s="32"/>
      <c r="H40" s="33"/>
      <c r="I40" s="34" t="s">
        <v>26</v>
      </c>
      <c r="J40" s="35">
        <f>SUM(J16:J39)</f>
        <v>113220.62260163935</v>
      </c>
      <c r="K40" s="77"/>
    </row>
    <row r="41" spans="1:11" x14ac:dyDescent="0.2">
      <c r="A41" s="39"/>
      <c r="B41" s="40"/>
      <c r="C41" s="40"/>
      <c r="D41" s="40"/>
      <c r="E41" s="40"/>
      <c r="F41" s="41"/>
      <c r="G41" s="48"/>
      <c r="H41" s="49"/>
      <c r="I41" s="50"/>
      <c r="J41" s="36"/>
    </row>
    <row r="42" spans="1:11" x14ac:dyDescent="0.2">
      <c r="A42" s="42" t="s">
        <v>27</v>
      </c>
      <c r="B42" s="21"/>
      <c r="C42" s="43"/>
      <c r="D42" s="43"/>
      <c r="E42" s="43"/>
      <c r="F42" s="44"/>
      <c r="G42" s="51"/>
      <c r="H42" s="52"/>
      <c r="I42" s="53"/>
      <c r="J42" s="37">
        <f>J40</f>
        <v>113220.62260163935</v>
      </c>
    </row>
    <row r="43" spans="1:11" ht="12" thickBot="1" x14ac:dyDescent="0.25">
      <c r="A43" s="45"/>
      <c r="B43" s="46"/>
      <c r="C43" s="46"/>
      <c r="D43" s="46"/>
      <c r="E43" s="46"/>
      <c r="F43" s="47"/>
      <c r="G43" s="54"/>
      <c r="H43" s="46"/>
      <c r="I43" s="47"/>
      <c r="J43" s="38"/>
    </row>
    <row r="45" spans="1:11" s="64" customFormat="1" x14ac:dyDescent="0.25">
      <c r="A45" s="61" t="s">
        <v>66</v>
      </c>
      <c r="B45" s="61" t="s">
        <v>67</v>
      </c>
      <c r="C45" s="62"/>
      <c r="D45" s="63"/>
      <c r="E45" s="63"/>
      <c r="F45" s="63"/>
      <c r="H45" s="65"/>
      <c r="I45" s="66"/>
      <c r="J45" s="66"/>
      <c r="K45" s="98"/>
    </row>
    <row r="46" spans="1:11" s="64" customFormat="1" x14ac:dyDescent="0.25">
      <c r="A46" s="61"/>
      <c r="B46" s="61"/>
      <c r="C46" s="62"/>
      <c r="D46" s="63"/>
      <c r="E46" s="63"/>
      <c r="F46" s="63"/>
      <c r="H46" s="65"/>
      <c r="I46" s="66"/>
      <c r="J46" s="66"/>
      <c r="K46" s="98"/>
    </row>
    <row r="47" spans="1:11" s="64" customFormat="1" x14ac:dyDescent="0.25">
      <c r="A47" s="61"/>
      <c r="B47" s="61"/>
      <c r="C47" s="62"/>
      <c r="D47" s="63"/>
      <c r="E47" s="63"/>
      <c r="F47" s="63"/>
      <c r="H47" s="65"/>
      <c r="I47" s="66"/>
      <c r="J47" s="66"/>
      <c r="K47" s="98"/>
    </row>
    <row r="48" spans="1:11" s="64" customFormat="1" x14ac:dyDescent="0.25">
      <c r="A48" s="61"/>
      <c r="B48" s="61"/>
      <c r="C48" s="62"/>
      <c r="D48" s="63"/>
      <c r="E48" s="63"/>
      <c r="F48" s="63"/>
      <c r="H48" s="65"/>
      <c r="I48" s="66"/>
      <c r="J48" s="66"/>
      <c r="K48" s="98"/>
    </row>
    <row r="49" spans="1:11" s="64" customFormat="1" x14ac:dyDescent="0.25">
      <c r="A49" s="61"/>
      <c r="B49" s="61"/>
      <c r="C49" s="62"/>
      <c r="D49" s="63"/>
      <c r="E49" s="63"/>
      <c r="F49" s="63"/>
      <c r="H49" s="65"/>
      <c r="I49" s="66"/>
      <c r="J49" s="66"/>
      <c r="K49" s="98"/>
    </row>
    <row r="50" spans="1:11" s="64" customFormat="1" x14ac:dyDescent="0.25">
      <c r="A50" s="61"/>
      <c r="B50" s="61"/>
      <c r="C50" s="62"/>
      <c r="D50" s="63"/>
      <c r="E50" s="63"/>
      <c r="F50" s="63"/>
      <c r="H50" s="65"/>
      <c r="I50" s="66"/>
      <c r="J50" s="66"/>
      <c r="K50" s="98"/>
    </row>
    <row r="51" spans="1:11" s="64" customFormat="1" x14ac:dyDescent="0.25">
      <c r="A51" s="61"/>
      <c r="B51" s="61"/>
      <c r="C51" s="62"/>
      <c r="D51" s="63"/>
      <c r="E51" s="63"/>
      <c r="F51" s="63"/>
      <c r="H51" s="65"/>
      <c r="I51" s="66"/>
      <c r="J51" s="66"/>
      <c r="K51" s="98"/>
    </row>
    <row r="52" spans="1:11" s="64" customFormat="1" x14ac:dyDescent="0.25">
      <c r="A52" s="61"/>
      <c r="B52" s="61"/>
      <c r="C52" s="62"/>
      <c r="D52" s="63"/>
      <c r="E52" s="63"/>
      <c r="F52" s="63"/>
      <c r="H52" s="65"/>
      <c r="I52" s="66"/>
      <c r="J52" s="66"/>
      <c r="K52" s="98"/>
    </row>
    <row r="53" spans="1:11" s="64" customFormat="1" x14ac:dyDescent="0.25">
      <c r="A53" s="61"/>
      <c r="B53" s="61"/>
      <c r="C53" s="62"/>
      <c r="D53" s="63"/>
      <c r="E53" s="63"/>
      <c r="F53" s="63"/>
      <c r="H53" s="65"/>
      <c r="I53" s="66"/>
      <c r="J53" s="66"/>
      <c r="K53" s="98"/>
    </row>
    <row r="54" spans="1:11" s="64" customFormat="1" x14ac:dyDescent="0.25">
      <c r="A54" s="61"/>
      <c r="B54" s="61"/>
      <c r="C54" s="62"/>
      <c r="D54" s="63"/>
      <c r="E54" s="63"/>
      <c r="F54" s="63"/>
      <c r="H54" s="65"/>
      <c r="I54" s="66"/>
      <c r="J54" s="66"/>
      <c r="K54" s="98"/>
    </row>
    <row r="55" spans="1:11" s="64" customFormat="1" x14ac:dyDescent="0.25">
      <c r="A55" s="61"/>
      <c r="B55" s="61"/>
      <c r="C55" s="62"/>
      <c r="D55" s="63"/>
      <c r="E55" s="63"/>
      <c r="F55" s="63"/>
      <c r="H55" s="65"/>
      <c r="I55" s="66"/>
      <c r="J55" s="66"/>
      <c r="K55" s="98"/>
    </row>
    <row r="56" spans="1:11" s="64" customFormat="1" x14ac:dyDescent="0.25">
      <c r="A56" s="61"/>
      <c r="B56" s="61"/>
      <c r="C56" s="62"/>
      <c r="D56" s="63"/>
      <c r="E56" s="63"/>
      <c r="F56" s="63"/>
      <c r="H56" s="65"/>
      <c r="I56" s="66"/>
      <c r="J56" s="66"/>
      <c r="K56" s="98"/>
    </row>
    <row r="57" spans="1:11" s="64" customFormat="1" x14ac:dyDescent="0.25">
      <c r="A57" s="61"/>
      <c r="B57" s="61"/>
      <c r="C57" s="62"/>
      <c r="D57" s="63"/>
      <c r="E57" s="63"/>
      <c r="F57" s="63"/>
      <c r="H57" s="65"/>
      <c r="I57" s="66"/>
      <c r="J57" s="66"/>
      <c r="K57" s="98"/>
    </row>
    <row r="58" spans="1:11" s="64" customFormat="1" x14ac:dyDescent="0.25">
      <c r="A58" s="61"/>
      <c r="B58" s="61"/>
      <c r="C58" s="62"/>
      <c r="D58" s="63"/>
      <c r="E58" s="63"/>
      <c r="F58" s="63"/>
      <c r="H58" s="65"/>
      <c r="I58" s="66"/>
      <c r="J58" s="66"/>
      <c r="K58" s="98"/>
    </row>
    <row r="59" spans="1:11" s="64" customFormat="1" x14ac:dyDescent="0.25">
      <c r="A59" s="61"/>
      <c r="B59" s="61"/>
      <c r="C59" s="62"/>
      <c r="D59" s="63"/>
      <c r="E59" s="63"/>
      <c r="F59" s="63"/>
      <c r="H59" s="65"/>
      <c r="I59" s="66"/>
      <c r="J59" s="66"/>
      <c r="K59" s="98"/>
    </row>
    <row r="60" spans="1:11" s="64" customFormat="1" x14ac:dyDescent="0.25">
      <c r="A60" s="61"/>
      <c r="B60" s="61"/>
      <c r="C60" s="62"/>
      <c r="D60" s="63"/>
      <c r="E60" s="63"/>
      <c r="F60" s="63"/>
      <c r="H60" s="65"/>
      <c r="I60" s="66"/>
      <c r="J60" s="66"/>
      <c r="K60" s="98"/>
    </row>
    <row r="61" spans="1:11" s="64" customFormat="1" x14ac:dyDescent="0.25">
      <c r="A61" s="61"/>
      <c r="B61" s="61"/>
      <c r="C61" s="62"/>
      <c r="D61" s="63"/>
      <c r="E61" s="63"/>
      <c r="F61" s="63"/>
      <c r="H61" s="65"/>
      <c r="I61" s="66"/>
      <c r="J61" s="66"/>
      <c r="K61" s="98"/>
    </row>
    <row r="62" spans="1:11" s="64" customFormat="1" x14ac:dyDescent="0.25">
      <c r="A62" s="61"/>
      <c r="B62" s="61"/>
      <c r="C62" s="62"/>
      <c r="D62" s="63"/>
      <c r="E62" s="63"/>
      <c r="F62" s="63"/>
      <c r="H62" s="65"/>
      <c r="I62" s="66"/>
      <c r="J62" s="66"/>
      <c r="K62" s="98"/>
    </row>
    <row r="63" spans="1:11" s="64" customFormat="1" x14ac:dyDescent="0.25">
      <c r="A63" s="61"/>
      <c r="B63" s="61"/>
      <c r="C63" s="62"/>
      <c r="D63" s="63"/>
      <c r="E63" s="63"/>
      <c r="F63" s="63"/>
      <c r="H63" s="65"/>
      <c r="I63" s="66"/>
      <c r="J63" s="66"/>
      <c r="K63" s="98"/>
    </row>
  </sheetData>
  <mergeCells count="25">
    <mergeCell ref="C37:F37"/>
    <mergeCell ref="C38:F38"/>
    <mergeCell ref="C39:F39"/>
    <mergeCell ref="C40:F40"/>
    <mergeCell ref="C32:F32"/>
    <mergeCell ref="C33:F33"/>
    <mergeCell ref="C34:F34"/>
    <mergeCell ref="C35:F35"/>
    <mergeCell ref="C36:F36"/>
    <mergeCell ref="C22:F22"/>
    <mergeCell ref="C23:F23"/>
    <mergeCell ref="C24:F24"/>
    <mergeCell ref="C25:F25"/>
    <mergeCell ref="C26:F26"/>
    <mergeCell ref="C30:F30"/>
    <mergeCell ref="C31:F31"/>
    <mergeCell ref="C27:F27"/>
    <mergeCell ref="C28:F28"/>
    <mergeCell ref="C29:F29"/>
    <mergeCell ref="C21:F21"/>
    <mergeCell ref="C16:F16"/>
    <mergeCell ref="C17:F17"/>
    <mergeCell ref="C18:F18"/>
    <mergeCell ref="C19:F19"/>
    <mergeCell ref="C20:F20"/>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view="pageBreakPreview" zoomScaleNormal="100" zoomScaleSheetLayoutView="100" workbookViewId="0">
      <selection activeCell="H16" sqref="H16"/>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1" width="11.7109375" style="97"/>
    <col min="12" max="16384" width="11.7109375" style="3"/>
  </cols>
  <sheetData>
    <row r="1" spans="1:13" ht="21" customHeight="1" x14ac:dyDescent="0.35">
      <c r="A1" s="1" t="s">
        <v>300</v>
      </c>
      <c r="B1" s="1"/>
      <c r="C1" s="4"/>
      <c r="D1" s="4"/>
      <c r="E1" s="4"/>
      <c r="F1" s="4"/>
      <c r="G1" s="4"/>
      <c r="H1" s="4"/>
      <c r="I1" s="4"/>
      <c r="J1" s="4"/>
    </row>
    <row r="2" spans="1:13" ht="15" x14ac:dyDescent="0.2">
      <c r="A2" s="5" t="s">
        <v>301</v>
      </c>
      <c r="B2" s="5"/>
      <c r="C2" s="6"/>
      <c r="D2" s="6"/>
      <c r="E2" s="6"/>
      <c r="F2" s="6"/>
      <c r="G2" s="6"/>
      <c r="H2" s="6"/>
      <c r="I2" s="6"/>
      <c r="J2" s="6"/>
    </row>
    <row r="3" spans="1:13" ht="14.25" customHeight="1" x14ac:dyDescent="0.2">
      <c r="A3" s="5" t="s">
        <v>302</v>
      </c>
      <c r="B3" s="5"/>
      <c r="C3" s="6"/>
      <c r="D3" s="6"/>
      <c r="E3" s="6"/>
      <c r="F3" s="6"/>
      <c r="G3" s="6"/>
      <c r="H3" s="6"/>
      <c r="I3" s="6"/>
      <c r="J3" s="6"/>
    </row>
    <row r="4" spans="1:13" x14ac:dyDescent="0.2">
      <c r="A4" s="7" t="s">
        <v>0</v>
      </c>
      <c r="B4" s="7"/>
      <c r="C4" s="8" t="s">
        <v>303</v>
      </c>
      <c r="D4" s="9"/>
      <c r="E4" s="9"/>
      <c r="F4" s="9"/>
      <c r="G4" s="10" t="s">
        <v>1</v>
      </c>
      <c r="H4" s="8" t="s">
        <v>2</v>
      </c>
      <c r="I4" s="9"/>
      <c r="J4" s="9"/>
    </row>
    <row r="5" spans="1:13" x14ac:dyDescent="0.2">
      <c r="A5" s="7" t="s">
        <v>3</v>
      </c>
      <c r="B5" s="7"/>
      <c r="C5" s="8" t="s">
        <v>4</v>
      </c>
      <c r="D5" s="9"/>
      <c r="E5" s="9"/>
      <c r="F5" s="9"/>
      <c r="G5" s="10" t="s">
        <v>5</v>
      </c>
      <c r="H5" s="8" t="s">
        <v>6</v>
      </c>
      <c r="I5" s="9"/>
      <c r="J5" s="9"/>
    </row>
    <row r="6" spans="1:13" x14ac:dyDescent="0.2">
      <c r="A6" s="7" t="s">
        <v>7</v>
      </c>
      <c r="B6" s="7"/>
      <c r="C6" s="8" t="s">
        <v>304</v>
      </c>
      <c r="D6" s="9"/>
      <c r="E6" s="9"/>
      <c r="F6" s="9"/>
      <c r="G6" s="10" t="s">
        <v>8</v>
      </c>
      <c r="H6" s="8" t="s">
        <v>305</v>
      </c>
      <c r="I6" s="9"/>
      <c r="J6" s="9"/>
    </row>
    <row r="7" spans="1:13" x14ac:dyDescent="0.2">
      <c r="A7" s="11" t="s">
        <v>306</v>
      </c>
      <c r="B7" s="11"/>
      <c r="C7" s="12"/>
      <c r="D7" s="12"/>
      <c r="E7" s="12"/>
      <c r="F7" s="12"/>
      <c r="G7" s="12"/>
      <c r="H7" s="12"/>
      <c r="I7" s="12"/>
      <c r="J7" s="12"/>
    </row>
    <row r="8" spans="1:13" ht="12.75" x14ac:dyDescent="0.2">
      <c r="A8" s="13" t="s">
        <v>9</v>
      </c>
      <c r="B8" s="13"/>
      <c r="C8" s="14"/>
      <c r="D8" s="14"/>
      <c r="E8" s="14"/>
      <c r="F8" s="14"/>
      <c r="G8" s="14"/>
      <c r="H8" s="14"/>
      <c r="I8" s="14"/>
      <c r="J8" s="14"/>
    </row>
    <row r="9" spans="1:13" x14ac:dyDescent="0.2">
      <c r="A9" s="15" t="s">
        <v>10</v>
      </c>
      <c r="B9" s="15"/>
      <c r="C9" s="16" t="s">
        <v>303</v>
      </c>
    </row>
    <row r="10" spans="1:13" x14ac:dyDescent="0.2">
      <c r="A10" s="15" t="s">
        <v>11</v>
      </c>
      <c r="B10" s="15"/>
      <c r="C10" s="3" t="s">
        <v>12</v>
      </c>
      <c r="G10" s="15"/>
      <c r="I10" s="15" t="s">
        <v>13</v>
      </c>
    </row>
    <row r="11" spans="1:13" x14ac:dyDescent="0.2">
      <c r="A11" s="15" t="s">
        <v>14</v>
      </c>
      <c r="B11" s="15"/>
      <c r="C11" s="16" t="s">
        <v>307</v>
      </c>
      <c r="G11" s="15"/>
      <c r="I11" s="15" t="s">
        <v>15</v>
      </c>
    </row>
    <row r="12" spans="1:13" x14ac:dyDescent="0.2">
      <c r="A12" s="15" t="s">
        <v>16</v>
      </c>
      <c r="B12" s="15"/>
      <c r="C12" s="17">
        <f>J21</f>
        <v>415121.64285714284</v>
      </c>
      <c r="E12" s="15" t="s">
        <v>17</v>
      </c>
      <c r="F12" s="3" t="s">
        <v>18</v>
      </c>
      <c r="G12" s="15"/>
      <c r="I12" s="15"/>
      <c r="J12" s="18"/>
    </row>
    <row r="13" spans="1:13" x14ac:dyDescent="0.2">
      <c r="A13" s="19" t="s">
        <v>19</v>
      </c>
      <c r="B13" s="20"/>
      <c r="C13" s="21" t="s">
        <v>20</v>
      </c>
      <c r="D13" s="21"/>
      <c r="E13" s="21"/>
      <c r="F13" s="20"/>
      <c r="G13" s="22" t="s">
        <v>21</v>
      </c>
      <c r="H13" s="23" t="s">
        <v>22</v>
      </c>
      <c r="I13" s="23" t="s">
        <v>23</v>
      </c>
      <c r="J13" s="23" t="s">
        <v>24</v>
      </c>
    </row>
    <row r="14" spans="1:13" x14ac:dyDescent="0.2">
      <c r="A14" s="24" t="s">
        <v>25</v>
      </c>
      <c r="B14" s="25"/>
      <c r="C14" s="26"/>
      <c r="D14" s="26"/>
      <c r="E14" s="26"/>
      <c r="F14" s="26"/>
      <c r="G14" s="26"/>
      <c r="H14" s="27"/>
      <c r="I14" s="27"/>
      <c r="J14" s="28"/>
      <c r="K14" s="99" t="s">
        <v>77</v>
      </c>
    </row>
    <row r="15" spans="1:13" s="107" customFormat="1" ht="141.75" customHeight="1" x14ac:dyDescent="0.25">
      <c r="A15" s="100" t="s">
        <v>28</v>
      </c>
      <c r="B15" s="101"/>
      <c r="C15" s="173" t="s">
        <v>308</v>
      </c>
      <c r="D15" s="174"/>
      <c r="E15" s="174"/>
      <c r="F15" s="174"/>
      <c r="G15" s="102" t="s">
        <v>49</v>
      </c>
      <c r="H15" s="103">
        <v>1</v>
      </c>
      <c r="I15" s="104">
        <v>325415</v>
      </c>
      <c r="J15" s="105">
        <f t="shared" ref="J15:J18" si="0">H15*I15</f>
        <v>325415</v>
      </c>
      <c r="K15" s="106">
        <v>108000</v>
      </c>
      <c r="M15" s="107">
        <f>4100/0.7+2500</f>
        <v>8357.1428571428587</v>
      </c>
    </row>
    <row r="16" spans="1:13" s="96" customFormat="1" ht="130.5" customHeight="1" x14ac:dyDescent="0.25">
      <c r="A16" s="108" t="s">
        <v>30</v>
      </c>
      <c r="B16" s="90"/>
      <c r="C16" s="175" t="s">
        <v>309</v>
      </c>
      <c r="D16" s="176"/>
      <c r="E16" s="176"/>
      <c r="F16" s="177"/>
      <c r="G16" s="91" t="s">
        <v>49</v>
      </c>
      <c r="H16" s="92">
        <v>1</v>
      </c>
      <c r="I16" s="93">
        <f>310*17.34/0.7+2500</f>
        <v>10179.142857142857</v>
      </c>
      <c r="J16" s="94">
        <f t="shared" si="0"/>
        <v>10179.142857142857</v>
      </c>
      <c r="K16" s="95">
        <v>0</v>
      </c>
    </row>
    <row r="17" spans="1:11" s="96" customFormat="1" ht="140.25" customHeight="1" x14ac:dyDescent="0.25">
      <c r="A17" s="108" t="s">
        <v>31</v>
      </c>
      <c r="B17" s="90"/>
      <c r="C17" s="175" t="s">
        <v>310</v>
      </c>
      <c r="D17" s="176"/>
      <c r="E17" s="176"/>
      <c r="F17" s="177"/>
      <c r="G17" s="91" t="s">
        <v>311</v>
      </c>
      <c r="H17" s="92">
        <v>36.5</v>
      </c>
      <c r="I17" s="93">
        <v>915</v>
      </c>
      <c r="J17" s="94">
        <f t="shared" si="0"/>
        <v>33397.5</v>
      </c>
      <c r="K17" s="95">
        <v>26000</v>
      </c>
    </row>
    <row r="18" spans="1:11" s="96" customFormat="1" ht="141.75" customHeight="1" x14ac:dyDescent="0.25">
      <c r="A18" s="109" t="s">
        <v>32</v>
      </c>
      <c r="B18" s="110"/>
      <c r="C18" s="178" t="s">
        <v>312</v>
      </c>
      <c r="D18" s="179"/>
      <c r="E18" s="179"/>
      <c r="F18" s="180"/>
      <c r="G18" s="111" t="s">
        <v>49</v>
      </c>
      <c r="H18" s="112">
        <v>1</v>
      </c>
      <c r="I18" s="113">
        <v>46130</v>
      </c>
      <c r="J18" s="114">
        <f t="shared" si="0"/>
        <v>46130</v>
      </c>
      <c r="K18" s="95">
        <v>0</v>
      </c>
    </row>
    <row r="19" spans="1:11" s="29" customFormat="1" ht="12" thickBot="1" x14ac:dyDescent="0.3">
      <c r="A19" s="30"/>
      <c r="B19" s="31"/>
      <c r="C19" s="162"/>
      <c r="D19" s="162"/>
      <c r="E19" s="162"/>
      <c r="F19" s="162"/>
      <c r="G19" s="32"/>
      <c r="H19" s="33"/>
      <c r="I19" s="34" t="s">
        <v>26</v>
      </c>
      <c r="J19" s="35">
        <f>SUM(J15:J18)</f>
        <v>415121.64285714284</v>
      </c>
      <c r="K19" s="77">
        <f>SUM(K15:K18)</f>
        <v>134000</v>
      </c>
    </row>
    <row r="20" spans="1:11" ht="6" customHeight="1" x14ac:dyDescent="0.2">
      <c r="A20" s="39"/>
      <c r="B20" s="40"/>
      <c r="C20" s="40"/>
      <c r="D20" s="40"/>
      <c r="E20" s="40"/>
      <c r="F20" s="41"/>
      <c r="G20" s="48"/>
      <c r="H20" s="49"/>
      <c r="I20" s="50"/>
      <c r="J20" s="36"/>
    </row>
    <row r="21" spans="1:11" x14ac:dyDescent="0.2">
      <c r="A21" s="42" t="s">
        <v>27</v>
      </c>
      <c r="B21" s="21"/>
      <c r="C21" s="43"/>
      <c r="D21" s="43"/>
      <c r="E21" s="43"/>
      <c r="F21" s="44"/>
      <c r="G21" s="51"/>
      <c r="H21" s="52"/>
      <c r="I21" s="53"/>
      <c r="J21" s="37">
        <f>J19</f>
        <v>415121.64285714284</v>
      </c>
    </row>
    <row r="22" spans="1:11" ht="9.75" customHeight="1" thickBot="1" x14ac:dyDescent="0.25">
      <c r="A22" s="45"/>
      <c r="B22" s="46"/>
      <c r="C22" s="46"/>
      <c r="D22" s="46"/>
      <c r="E22" s="46"/>
      <c r="F22" s="47"/>
      <c r="G22" s="54"/>
      <c r="H22" s="46"/>
      <c r="I22" s="47"/>
      <c r="J22" s="38"/>
    </row>
    <row r="26" spans="1:11" x14ac:dyDescent="0.2">
      <c r="J26" s="97"/>
    </row>
  </sheetData>
  <mergeCells count="5">
    <mergeCell ref="C15:F15"/>
    <mergeCell ref="C16:F16"/>
    <mergeCell ref="C17:F17"/>
    <mergeCell ref="C18:F18"/>
    <mergeCell ref="C19:F19"/>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topLeftCell="A37" zoomScaleNormal="100" zoomScaleSheetLayoutView="100" workbookViewId="0">
      <selection activeCell="C19" sqref="C19:F19"/>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1" width="11.7109375" style="97"/>
    <col min="12" max="16384" width="11.7109375" style="3"/>
  </cols>
  <sheetData>
    <row r="1" spans="1:12" ht="21" customHeight="1" x14ac:dyDescent="0.25">
      <c r="A1" s="115" t="s">
        <v>461</v>
      </c>
      <c r="B1" s="2"/>
      <c r="C1" s="2"/>
      <c r="D1" s="2"/>
      <c r="E1" s="2"/>
      <c r="F1" s="2"/>
      <c r="G1" s="2"/>
      <c r="H1" s="2"/>
      <c r="I1" s="2"/>
      <c r="J1" s="97"/>
      <c r="K1" s="3"/>
    </row>
    <row r="2" spans="1:12" ht="4.5" customHeight="1" x14ac:dyDescent="0.25">
      <c r="A2" s="116"/>
      <c r="B2" s="2"/>
      <c r="C2" s="2"/>
      <c r="D2" s="2"/>
      <c r="E2" s="2"/>
      <c r="F2" s="2"/>
      <c r="G2" s="2"/>
      <c r="H2" s="2"/>
      <c r="I2" s="2"/>
      <c r="J2" s="97"/>
      <c r="K2" s="3"/>
    </row>
    <row r="3" spans="1:12" ht="14.25" x14ac:dyDescent="0.2">
      <c r="A3" s="117" t="s">
        <v>462</v>
      </c>
      <c r="B3" s="6"/>
      <c r="C3" s="6"/>
      <c r="D3" s="6"/>
      <c r="E3" s="6"/>
      <c r="F3" s="6"/>
      <c r="G3" s="6"/>
      <c r="H3" s="6"/>
      <c r="I3" s="6"/>
      <c r="J3" s="97"/>
      <c r="K3" s="3"/>
    </row>
    <row r="4" spans="1:12" ht="15" x14ac:dyDescent="0.2">
      <c r="A4" s="5" t="s">
        <v>463</v>
      </c>
      <c r="B4" s="6"/>
      <c r="C4" s="6"/>
      <c r="D4" s="6"/>
      <c r="E4" s="6"/>
      <c r="F4" s="6"/>
      <c r="G4" s="6"/>
      <c r="H4" s="6"/>
      <c r="I4" s="6"/>
      <c r="J4" s="97"/>
      <c r="K4" s="3"/>
    </row>
    <row r="5" spans="1:12" ht="3.75" customHeight="1" x14ac:dyDescent="0.2">
      <c r="A5" s="5"/>
      <c r="B5" s="5"/>
      <c r="C5" s="6"/>
      <c r="D5" s="6"/>
      <c r="E5" s="6"/>
      <c r="F5" s="6"/>
      <c r="G5" s="6"/>
      <c r="H5" s="6"/>
      <c r="I5" s="6"/>
      <c r="J5" s="6"/>
    </row>
    <row r="6" spans="1:12" x14ac:dyDescent="0.2">
      <c r="A6" s="7" t="s">
        <v>0</v>
      </c>
      <c r="B6" s="7"/>
      <c r="C6" s="8" t="s">
        <v>313</v>
      </c>
      <c r="D6" s="9"/>
      <c r="E6" s="9"/>
      <c r="F6" s="9"/>
      <c r="G6" s="10" t="s">
        <v>1</v>
      </c>
      <c r="H6" s="8" t="s">
        <v>2</v>
      </c>
      <c r="I6" s="9"/>
      <c r="J6" s="9"/>
    </row>
    <row r="7" spans="1:12" x14ac:dyDescent="0.2">
      <c r="A7" s="7" t="s">
        <v>3</v>
      </c>
      <c r="B7" s="7"/>
      <c r="C7" s="8" t="s">
        <v>4</v>
      </c>
      <c r="D7" s="9"/>
      <c r="E7" s="9"/>
      <c r="F7" s="9"/>
      <c r="G7" s="10" t="s">
        <v>5</v>
      </c>
      <c r="H7" s="8" t="s">
        <v>6</v>
      </c>
      <c r="I7" s="9"/>
      <c r="J7" s="9"/>
      <c r="L7" s="3">
        <v>80</v>
      </c>
    </row>
    <row r="8" spans="1:12" x14ac:dyDescent="0.2">
      <c r="A8" s="7" t="s">
        <v>7</v>
      </c>
      <c r="B8" s="7"/>
      <c r="C8" s="8" t="s">
        <v>36</v>
      </c>
      <c r="D8" s="9"/>
      <c r="E8" s="9"/>
      <c r="F8" s="9"/>
      <c r="G8" s="10" t="s">
        <v>8</v>
      </c>
      <c r="H8" s="8" t="s">
        <v>36</v>
      </c>
      <c r="I8" s="9"/>
      <c r="J8" s="9"/>
      <c r="L8" s="3">
        <v>54.5</v>
      </c>
    </row>
    <row r="9" spans="1:12" x14ac:dyDescent="0.2">
      <c r="A9" s="11" t="s">
        <v>29</v>
      </c>
      <c r="B9" s="11"/>
      <c r="C9" s="12"/>
      <c r="D9" s="12"/>
      <c r="E9" s="12"/>
      <c r="F9" s="12"/>
      <c r="G9" s="12"/>
      <c r="H9" s="12"/>
      <c r="I9" s="12"/>
      <c r="J9" s="12"/>
      <c r="L9" s="3">
        <v>5</v>
      </c>
    </row>
    <row r="10" spans="1:12" ht="15" customHeight="1" x14ac:dyDescent="0.2">
      <c r="A10" s="13" t="s">
        <v>9</v>
      </c>
      <c r="B10" s="13"/>
      <c r="C10" s="14"/>
      <c r="D10" s="14"/>
      <c r="E10" s="14"/>
      <c r="F10" s="14"/>
      <c r="G10" s="14"/>
      <c r="H10" s="14"/>
      <c r="I10" s="14"/>
      <c r="J10" s="14"/>
      <c r="L10" s="3">
        <v>59</v>
      </c>
    </row>
    <row r="11" spans="1:12" ht="12" customHeight="1" x14ac:dyDescent="0.2">
      <c r="A11" s="15" t="s">
        <v>10</v>
      </c>
      <c r="B11" s="15"/>
      <c r="C11" s="16" t="s">
        <v>313</v>
      </c>
      <c r="L11" s="3">
        <v>5</v>
      </c>
    </row>
    <row r="12" spans="1:12" ht="10.15" customHeight="1" x14ac:dyDescent="0.2">
      <c r="A12" s="15" t="s">
        <v>11</v>
      </c>
      <c r="B12" s="15"/>
      <c r="C12" s="3" t="s">
        <v>12</v>
      </c>
      <c r="G12" s="15"/>
      <c r="I12" s="15" t="s">
        <v>13</v>
      </c>
      <c r="L12" s="3">
        <v>72</v>
      </c>
    </row>
    <row r="13" spans="1:12" ht="10.15" customHeight="1" x14ac:dyDescent="0.2">
      <c r="A13" s="15" t="s">
        <v>14</v>
      </c>
      <c r="B13" s="15"/>
      <c r="C13" s="16" t="s">
        <v>314</v>
      </c>
      <c r="G13" s="15"/>
      <c r="I13" s="15" t="s">
        <v>15</v>
      </c>
      <c r="L13" s="3">
        <v>8.3000000000000007</v>
      </c>
    </row>
    <row r="14" spans="1:12" ht="10.15" customHeight="1" x14ac:dyDescent="0.2">
      <c r="A14" s="15" t="s">
        <v>16</v>
      </c>
      <c r="B14" s="15"/>
      <c r="C14" s="17">
        <f>J43</f>
        <v>118508.01327032965</v>
      </c>
      <c r="E14" s="15" t="s">
        <v>17</v>
      </c>
      <c r="F14" s="3" t="s">
        <v>18</v>
      </c>
      <c r="G14" s="15"/>
      <c r="I14" s="15"/>
      <c r="J14" s="18"/>
      <c r="L14" s="3">
        <v>30</v>
      </c>
    </row>
    <row r="15" spans="1:12" x14ac:dyDescent="0.2">
      <c r="A15" s="19" t="s">
        <v>19</v>
      </c>
      <c r="B15" s="20"/>
      <c r="C15" s="21" t="s">
        <v>20</v>
      </c>
      <c r="D15" s="21"/>
      <c r="E15" s="21"/>
      <c r="F15" s="20"/>
      <c r="G15" s="22" t="s">
        <v>21</v>
      </c>
      <c r="H15" s="23" t="s">
        <v>22</v>
      </c>
      <c r="I15" s="23" t="s">
        <v>23</v>
      </c>
      <c r="J15" s="23" t="s">
        <v>24</v>
      </c>
      <c r="L15" s="3">
        <f>SUM(L7:L14)</f>
        <v>313.8</v>
      </c>
    </row>
    <row r="16" spans="1:12" x14ac:dyDescent="0.2">
      <c r="A16" s="24" t="s">
        <v>25</v>
      </c>
      <c r="B16" s="25"/>
      <c r="C16" s="26"/>
      <c r="D16" s="26"/>
      <c r="E16" s="26"/>
      <c r="F16" s="26"/>
      <c r="G16" s="26"/>
      <c r="H16" s="27"/>
      <c r="I16" s="27"/>
      <c r="J16" s="28"/>
      <c r="K16" s="97" t="s">
        <v>77</v>
      </c>
    </row>
    <row r="17" spans="1:11" s="29" customFormat="1" ht="112.5" customHeight="1" x14ac:dyDescent="0.25">
      <c r="A17" s="75" t="s">
        <v>28</v>
      </c>
      <c r="B17" s="56"/>
      <c r="C17" s="158" t="s">
        <v>428</v>
      </c>
      <c r="D17" s="158"/>
      <c r="E17" s="158"/>
      <c r="F17" s="158"/>
      <c r="G17" s="57" t="s">
        <v>49</v>
      </c>
      <c r="H17" s="58">
        <v>3</v>
      </c>
      <c r="I17" s="59">
        <v>325</v>
      </c>
      <c r="J17" s="60">
        <f>I17*H17</f>
        <v>975</v>
      </c>
    </row>
    <row r="18" spans="1:11" s="29" customFormat="1" ht="125.25" customHeight="1" x14ac:dyDescent="0.25">
      <c r="A18" s="75" t="s">
        <v>30</v>
      </c>
      <c r="B18" s="56"/>
      <c r="C18" s="158" t="s">
        <v>429</v>
      </c>
      <c r="D18" s="158"/>
      <c r="E18" s="158"/>
      <c r="F18" s="158"/>
      <c r="G18" s="57" t="s">
        <v>48</v>
      </c>
      <c r="H18" s="58">
        <v>8.35</v>
      </c>
      <c r="I18" s="67">
        <v>643</v>
      </c>
      <c r="J18" s="60">
        <f>I18*H18</f>
        <v>5369.05</v>
      </c>
    </row>
    <row r="19" spans="1:11" s="29" customFormat="1" ht="114" customHeight="1" x14ac:dyDescent="0.25">
      <c r="A19" s="75" t="s">
        <v>31</v>
      </c>
      <c r="B19" s="56"/>
      <c r="C19" s="158" t="s">
        <v>430</v>
      </c>
      <c r="D19" s="158"/>
      <c r="E19" s="158"/>
      <c r="F19" s="158"/>
      <c r="G19" s="57" t="s">
        <v>48</v>
      </c>
      <c r="H19" s="58">
        <v>5.63</v>
      </c>
      <c r="I19" s="59">
        <v>24.32</v>
      </c>
      <c r="J19" s="60">
        <f>I19*H19</f>
        <v>136.92160000000001</v>
      </c>
      <c r="K19" s="29">
        <v>300</v>
      </c>
    </row>
    <row r="20" spans="1:11" s="29" customFormat="1" ht="66" customHeight="1" x14ac:dyDescent="0.25">
      <c r="A20" s="75" t="s">
        <v>32</v>
      </c>
      <c r="B20" s="56"/>
      <c r="C20" s="158" t="s">
        <v>431</v>
      </c>
      <c r="D20" s="158"/>
      <c r="E20" s="158"/>
      <c r="F20" s="158"/>
      <c r="G20" s="57" t="s">
        <v>47</v>
      </c>
      <c r="H20" s="58">
        <v>0.65</v>
      </c>
      <c r="I20" s="59">
        <v>495</v>
      </c>
      <c r="J20" s="60">
        <f>I20*H20</f>
        <v>321.75</v>
      </c>
    </row>
    <row r="21" spans="1:11" s="29" customFormat="1" ht="111" customHeight="1" x14ac:dyDescent="0.25">
      <c r="A21" s="75" t="s">
        <v>33</v>
      </c>
      <c r="B21" s="68"/>
      <c r="C21" s="158" t="s">
        <v>432</v>
      </c>
      <c r="D21" s="158"/>
      <c r="E21" s="158"/>
      <c r="F21" s="158"/>
      <c r="G21" s="57" t="s">
        <v>46</v>
      </c>
      <c r="H21" s="58">
        <v>4.8</v>
      </c>
      <c r="I21" s="67">
        <f>835.2+86.3</f>
        <v>921.5</v>
      </c>
      <c r="J21" s="60">
        <f>H21*I21</f>
        <v>4423.2</v>
      </c>
    </row>
    <row r="22" spans="1:11" s="96" customFormat="1" ht="138" customHeight="1" x14ac:dyDescent="0.25">
      <c r="A22" s="75" t="s">
        <v>37</v>
      </c>
      <c r="B22" s="56"/>
      <c r="C22" s="168" t="s">
        <v>315</v>
      </c>
      <c r="D22" s="169"/>
      <c r="E22" s="169"/>
      <c r="F22" s="170"/>
      <c r="G22" s="57" t="s">
        <v>49</v>
      </c>
      <c r="H22" s="58">
        <v>1</v>
      </c>
      <c r="I22" s="67">
        <v>1425.3</v>
      </c>
      <c r="J22" s="60">
        <f>H22*I22</f>
        <v>1425.3</v>
      </c>
      <c r="K22" s="95">
        <v>10000</v>
      </c>
    </row>
    <row r="23" spans="1:11" s="29" customFormat="1" ht="147" customHeight="1" x14ac:dyDescent="0.25">
      <c r="A23" s="75" t="s">
        <v>38</v>
      </c>
      <c r="B23" s="56"/>
      <c r="C23" s="168" t="s">
        <v>433</v>
      </c>
      <c r="D23" s="169"/>
      <c r="E23" s="169"/>
      <c r="F23" s="170"/>
      <c r="G23" s="57" t="s">
        <v>49</v>
      </c>
      <c r="H23" s="58">
        <v>1</v>
      </c>
      <c r="I23" s="67">
        <v>987.16</v>
      </c>
      <c r="J23" s="60">
        <f t="shared" ref="J23:J24" si="0">I23*H23</f>
        <v>987.16</v>
      </c>
    </row>
    <row r="24" spans="1:11" s="29" customFormat="1" ht="133.5" customHeight="1" x14ac:dyDescent="0.25">
      <c r="A24" s="75" t="s">
        <v>39</v>
      </c>
      <c r="B24" s="56"/>
      <c r="C24" s="168" t="s">
        <v>434</v>
      </c>
      <c r="D24" s="169"/>
      <c r="E24" s="169"/>
      <c r="F24" s="170"/>
      <c r="G24" s="57" t="s">
        <v>49</v>
      </c>
      <c r="H24" s="58">
        <v>1</v>
      </c>
      <c r="I24" s="59">
        <v>2368</v>
      </c>
      <c r="J24" s="60">
        <f t="shared" si="0"/>
        <v>2368</v>
      </c>
    </row>
    <row r="25" spans="1:11" s="29" customFormat="1" ht="122.25" customHeight="1" x14ac:dyDescent="0.25">
      <c r="A25" s="75" t="s">
        <v>40</v>
      </c>
      <c r="B25" s="68"/>
      <c r="C25" s="158" t="s">
        <v>435</v>
      </c>
      <c r="D25" s="158"/>
      <c r="E25" s="158"/>
      <c r="F25" s="158"/>
      <c r="G25" s="57" t="s">
        <v>49</v>
      </c>
      <c r="H25" s="58">
        <v>1</v>
      </c>
      <c r="I25" s="67">
        <v>262.2</v>
      </c>
      <c r="J25" s="60">
        <f t="shared" ref="J25" si="1">H25*I25</f>
        <v>262.2</v>
      </c>
    </row>
    <row r="26" spans="1:11" s="29" customFormat="1" ht="135" customHeight="1" x14ac:dyDescent="0.25">
      <c r="A26" s="75" t="s">
        <v>41</v>
      </c>
      <c r="B26" s="56"/>
      <c r="C26" s="158" t="s">
        <v>436</v>
      </c>
      <c r="D26" s="158"/>
      <c r="E26" s="158"/>
      <c r="F26" s="158"/>
      <c r="G26" s="57" t="s">
        <v>49</v>
      </c>
      <c r="H26" s="58">
        <v>1</v>
      </c>
      <c r="I26" s="59">
        <v>1316</v>
      </c>
      <c r="J26" s="60">
        <f t="shared" ref="J26:J29" si="2">I26*H26</f>
        <v>1316</v>
      </c>
    </row>
    <row r="27" spans="1:11" s="29" customFormat="1" ht="146.25" customHeight="1" x14ac:dyDescent="0.25">
      <c r="A27" s="75" t="s">
        <v>42</v>
      </c>
      <c r="B27" s="56"/>
      <c r="C27" s="158" t="s">
        <v>437</v>
      </c>
      <c r="D27" s="158"/>
      <c r="E27" s="158"/>
      <c r="F27" s="158"/>
      <c r="G27" s="57" t="s">
        <v>49</v>
      </c>
      <c r="H27" s="58">
        <v>1</v>
      </c>
      <c r="I27" s="59">
        <v>7896</v>
      </c>
      <c r="J27" s="60">
        <f t="shared" si="2"/>
        <v>7896</v>
      </c>
    </row>
    <row r="28" spans="1:11" s="29" customFormat="1" ht="130.5" customHeight="1" x14ac:dyDescent="0.25">
      <c r="A28" s="140" t="s">
        <v>43</v>
      </c>
      <c r="B28" s="56"/>
      <c r="C28" s="163" t="s">
        <v>438</v>
      </c>
      <c r="D28" s="164"/>
      <c r="E28" s="164"/>
      <c r="F28" s="164"/>
      <c r="G28" s="57" t="s">
        <v>49</v>
      </c>
      <c r="H28" s="58">
        <v>1</v>
      </c>
      <c r="I28" s="89">
        <f>6100*1.3/0.7</f>
        <v>11328.571428571429</v>
      </c>
      <c r="J28" s="60">
        <f t="shared" ref="J28" si="3">I28*H28</f>
        <v>11328.571428571429</v>
      </c>
    </row>
    <row r="29" spans="1:11" s="29" customFormat="1" ht="130.5" customHeight="1" x14ac:dyDescent="0.25">
      <c r="A29" s="75" t="s">
        <v>44</v>
      </c>
      <c r="B29" s="56"/>
      <c r="C29" s="163" t="s">
        <v>439</v>
      </c>
      <c r="D29" s="164"/>
      <c r="E29" s="164"/>
      <c r="F29" s="164"/>
      <c r="G29" s="57" t="s">
        <v>49</v>
      </c>
      <c r="H29" s="58">
        <v>1</v>
      </c>
      <c r="I29" s="59">
        <f>750/0.7*1.3</f>
        <v>1392.8571428571431</v>
      </c>
      <c r="J29" s="60">
        <f t="shared" si="2"/>
        <v>1392.8571428571431</v>
      </c>
    </row>
    <row r="30" spans="1:11" s="29" customFormat="1" ht="130.5" customHeight="1" x14ac:dyDescent="0.25">
      <c r="A30" s="75" t="s">
        <v>45</v>
      </c>
      <c r="B30" s="56"/>
      <c r="C30" s="163" t="s">
        <v>440</v>
      </c>
      <c r="D30" s="164"/>
      <c r="E30" s="164"/>
      <c r="F30" s="164"/>
      <c r="G30" s="57" t="s">
        <v>49</v>
      </c>
      <c r="H30" s="58">
        <v>1</v>
      </c>
      <c r="I30" s="59">
        <f>3650/0.7*1.3</f>
        <v>6778.5714285714294</v>
      </c>
      <c r="J30" s="60">
        <f t="shared" ref="J30" si="4">I30*H30</f>
        <v>6778.5714285714294</v>
      </c>
    </row>
    <row r="31" spans="1:11" s="29" customFormat="1" ht="112.5" customHeight="1" x14ac:dyDescent="0.25">
      <c r="A31" s="75" t="s">
        <v>50</v>
      </c>
      <c r="B31" s="68"/>
      <c r="C31" s="158" t="s">
        <v>441</v>
      </c>
      <c r="D31" s="158"/>
      <c r="E31" s="158"/>
      <c r="F31" s="158"/>
      <c r="G31" s="57" t="s">
        <v>49</v>
      </c>
      <c r="H31" s="58">
        <v>1</v>
      </c>
      <c r="I31" s="67">
        <v>436.2</v>
      </c>
      <c r="J31" s="60">
        <f>H31*I31</f>
        <v>436.2</v>
      </c>
    </row>
    <row r="32" spans="1:11" s="29" customFormat="1" ht="113.25" customHeight="1" x14ac:dyDescent="0.25">
      <c r="A32" s="75" t="s">
        <v>51</v>
      </c>
      <c r="B32" s="68"/>
      <c r="C32" s="158" t="s">
        <v>442</v>
      </c>
      <c r="D32" s="158"/>
      <c r="E32" s="158"/>
      <c r="F32" s="158"/>
      <c r="G32" s="57" t="s">
        <v>46</v>
      </c>
      <c r="H32" s="58">
        <f>23.41+1.73</f>
        <v>25.14</v>
      </c>
      <c r="I32" s="67">
        <v>87.15</v>
      </c>
      <c r="J32" s="60">
        <f t="shared" ref="J32:J33" si="5">H32*I32</f>
        <v>2190.951</v>
      </c>
    </row>
    <row r="33" spans="1:11" s="29" customFormat="1" ht="113.25" customHeight="1" x14ac:dyDescent="0.25">
      <c r="A33" s="75" t="s">
        <v>52</v>
      </c>
      <c r="B33" s="68"/>
      <c r="C33" s="158" t="s">
        <v>443</v>
      </c>
      <c r="D33" s="158"/>
      <c r="E33" s="158"/>
      <c r="F33" s="158"/>
      <c r="G33" s="57" t="s">
        <v>46</v>
      </c>
      <c r="H33" s="58">
        <f>23.41+1.73</f>
        <v>25.14</v>
      </c>
      <c r="I33" s="67">
        <v>87.15</v>
      </c>
      <c r="J33" s="60">
        <f t="shared" si="5"/>
        <v>2190.951</v>
      </c>
    </row>
    <row r="34" spans="1:11" s="29" customFormat="1" ht="130.5" customHeight="1" x14ac:dyDescent="0.25">
      <c r="A34" s="75" t="s">
        <v>53</v>
      </c>
      <c r="B34" s="56"/>
      <c r="C34" s="163" t="s">
        <v>444</v>
      </c>
      <c r="D34" s="164"/>
      <c r="E34" s="164"/>
      <c r="F34" s="164"/>
      <c r="G34" s="57" t="s">
        <v>49</v>
      </c>
      <c r="H34" s="58">
        <v>1</v>
      </c>
      <c r="I34" s="59">
        <f>21450/0.7*1.3</f>
        <v>39835.71428571429</v>
      </c>
      <c r="J34" s="60">
        <f>I34*H34</f>
        <v>39835.71428571429</v>
      </c>
    </row>
    <row r="35" spans="1:11" s="29" customFormat="1" ht="130.5" customHeight="1" x14ac:dyDescent="0.25">
      <c r="A35" s="75" t="s">
        <v>54</v>
      </c>
      <c r="B35" s="56"/>
      <c r="C35" s="163" t="s">
        <v>445</v>
      </c>
      <c r="D35" s="164"/>
      <c r="E35" s="164"/>
      <c r="F35" s="164"/>
      <c r="G35" s="57" t="s">
        <v>49</v>
      </c>
      <c r="H35" s="58">
        <v>1</v>
      </c>
      <c r="I35" s="59">
        <v>6485</v>
      </c>
      <c r="J35" s="60">
        <f t="shared" ref="J35:J39" si="6">I35*H35</f>
        <v>6485</v>
      </c>
    </row>
    <row r="36" spans="1:11" s="83" customFormat="1" ht="103.5" customHeight="1" x14ac:dyDescent="0.25">
      <c r="A36" s="75" t="s">
        <v>55</v>
      </c>
      <c r="B36" s="88"/>
      <c r="C36" s="152" t="s">
        <v>448</v>
      </c>
      <c r="D36" s="153"/>
      <c r="E36" s="153"/>
      <c r="F36" s="153"/>
      <c r="G36" s="79" t="s">
        <v>49</v>
      </c>
      <c r="H36" s="80">
        <v>1</v>
      </c>
      <c r="I36" s="89">
        <f>6300/0.65</f>
        <v>9692.3076923076915</v>
      </c>
      <c r="J36" s="82">
        <f>I36*H36</f>
        <v>9692.3076923076915</v>
      </c>
    </row>
    <row r="37" spans="1:11" s="83" customFormat="1" ht="103.5" customHeight="1" x14ac:dyDescent="0.25">
      <c r="A37" s="75" t="s">
        <v>56</v>
      </c>
      <c r="B37" s="88"/>
      <c r="C37" s="152" t="s">
        <v>449</v>
      </c>
      <c r="D37" s="153"/>
      <c r="E37" s="153"/>
      <c r="F37" s="153"/>
      <c r="G37" s="79" t="s">
        <v>49</v>
      </c>
      <c r="H37" s="80">
        <v>1</v>
      </c>
      <c r="I37" s="89">
        <f>6300/0.65</f>
        <v>9692.3076923076915</v>
      </c>
      <c r="J37" s="82">
        <f>I37*H37</f>
        <v>9692.3076923076915</v>
      </c>
    </row>
    <row r="38" spans="1:11" s="29" customFormat="1" ht="102.75" customHeight="1" x14ac:dyDescent="0.25">
      <c r="A38" s="75" t="s">
        <v>57</v>
      </c>
      <c r="B38" s="56"/>
      <c r="C38" s="163" t="s">
        <v>446</v>
      </c>
      <c r="D38" s="164"/>
      <c r="E38" s="164"/>
      <c r="F38" s="164"/>
      <c r="G38" s="57" t="s">
        <v>49</v>
      </c>
      <c r="H38" s="58">
        <v>1</v>
      </c>
      <c r="I38" s="59">
        <v>1689</v>
      </c>
      <c r="J38" s="60">
        <f t="shared" si="6"/>
        <v>1689</v>
      </c>
    </row>
    <row r="39" spans="1:11" s="29" customFormat="1" ht="112.5" customHeight="1" x14ac:dyDescent="0.25">
      <c r="A39" s="75" t="s">
        <v>58</v>
      </c>
      <c r="B39" s="56"/>
      <c r="C39" s="163" t="s">
        <v>131</v>
      </c>
      <c r="D39" s="164"/>
      <c r="E39" s="164"/>
      <c r="F39" s="164"/>
      <c r="G39" s="57" t="s">
        <v>49</v>
      </c>
      <c r="H39" s="58">
        <v>1</v>
      </c>
      <c r="I39" s="59">
        <v>1315</v>
      </c>
      <c r="J39" s="60">
        <f t="shared" si="6"/>
        <v>1315</v>
      </c>
    </row>
    <row r="40" spans="1:11" s="29" customFormat="1" x14ac:dyDescent="0.25">
      <c r="A40" s="75"/>
      <c r="B40" s="56"/>
      <c r="C40" s="137"/>
      <c r="D40" s="138"/>
      <c r="E40" s="138"/>
      <c r="F40" s="138"/>
      <c r="G40" s="57"/>
      <c r="H40" s="58"/>
      <c r="I40" s="59"/>
      <c r="J40" s="60"/>
    </row>
    <row r="41" spans="1:11" s="29" customFormat="1" ht="12" thickBot="1" x14ac:dyDescent="0.3">
      <c r="A41" s="30"/>
      <c r="B41" s="31"/>
      <c r="C41" s="162"/>
      <c r="D41" s="162"/>
      <c r="E41" s="162"/>
      <c r="F41" s="162"/>
      <c r="G41" s="32"/>
      <c r="H41" s="33"/>
      <c r="I41" s="34" t="s">
        <v>26</v>
      </c>
      <c r="J41" s="35">
        <f>SUM(J17:J40)</f>
        <v>118508.01327032965</v>
      </c>
      <c r="K41" s="77">
        <f>SUM(K17:K39)</f>
        <v>10300</v>
      </c>
    </row>
    <row r="42" spans="1:11" x14ac:dyDescent="0.2">
      <c r="A42" s="39"/>
      <c r="B42" s="40"/>
      <c r="C42" s="40"/>
      <c r="D42" s="40"/>
      <c r="E42" s="40"/>
      <c r="F42" s="41"/>
      <c r="G42" s="48"/>
      <c r="H42" s="49"/>
      <c r="I42" s="50"/>
      <c r="J42" s="36"/>
    </row>
    <row r="43" spans="1:11" x14ac:dyDescent="0.2">
      <c r="A43" s="42" t="s">
        <v>27</v>
      </c>
      <c r="B43" s="21"/>
      <c r="C43" s="43"/>
      <c r="D43" s="43"/>
      <c r="E43" s="43"/>
      <c r="F43" s="44"/>
      <c r="G43" s="51"/>
      <c r="H43" s="52"/>
      <c r="I43" s="53"/>
      <c r="J43" s="37">
        <f>J41</f>
        <v>118508.01327032965</v>
      </c>
    </row>
    <row r="44" spans="1:11" ht="12" thickBot="1" x14ac:dyDescent="0.25">
      <c r="A44" s="45"/>
      <c r="B44" s="46"/>
      <c r="C44" s="46"/>
      <c r="D44" s="46"/>
      <c r="E44" s="46"/>
      <c r="F44" s="47"/>
      <c r="G44" s="54"/>
      <c r="H44" s="46"/>
      <c r="I44" s="47"/>
      <c r="J44" s="38"/>
    </row>
    <row r="46" spans="1:11" s="64" customFormat="1" x14ac:dyDescent="0.25">
      <c r="A46" s="61" t="s">
        <v>66</v>
      </c>
      <c r="B46" s="61" t="s">
        <v>67</v>
      </c>
      <c r="C46" s="62"/>
      <c r="D46" s="63"/>
      <c r="E46" s="63"/>
      <c r="F46" s="63"/>
      <c r="H46" s="65"/>
      <c r="I46" s="66"/>
      <c r="J46" s="66"/>
      <c r="K46" s="98"/>
    </row>
    <row r="47" spans="1:11" s="64" customFormat="1" x14ac:dyDescent="0.25">
      <c r="A47" s="61"/>
      <c r="B47" s="61"/>
      <c r="C47" s="62"/>
      <c r="D47" s="63"/>
      <c r="E47" s="63"/>
      <c r="F47" s="63"/>
      <c r="H47" s="65"/>
      <c r="I47" s="66"/>
      <c r="J47" s="66"/>
      <c r="K47" s="98"/>
    </row>
    <row r="48" spans="1:11" s="64" customFormat="1" x14ac:dyDescent="0.25">
      <c r="A48" s="61"/>
      <c r="B48" s="61"/>
      <c r="C48" s="62"/>
      <c r="D48" s="63"/>
      <c r="E48" s="63"/>
      <c r="F48" s="63"/>
      <c r="H48" s="65"/>
      <c r="I48" s="66"/>
      <c r="J48" s="66"/>
      <c r="K48" s="98"/>
    </row>
    <row r="49" spans="1:11" s="64" customFormat="1" x14ac:dyDescent="0.25">
      <c r="A49" s="61"/>
      <c r="B49" s="61"/>
      <c r="C49" s="62"/>
      <c r="D49" s="63"/>
      <c r="E49" s="63"/>
      <c r="F49" s="63"/>
      <c r="H49" s="65"/>
      <c r="I49" s="66"/>
      <c r="J49" s="66"/>
      <c r="K49" s="98"/>
    </row>
    <row r="50" spans="1:11" s="64" customFormat="1" x14ac:dyDescent="0.25">
      <c r="A50" s="61"/>
      <c r="B50" s="61"/>
      <c r="C50" s="62"/>
      <c r="D50" s="63"/>
      <c r="E50" s="63"/>
      <c r="F50" s="63"/>
      <c r="H50" s="65"/>
      <c r="I50" s="66"/>
      <c r="J50" s="66"/>
      <c r="K50" s="98"/>
    </row>
    <row r="51" spans="1:11" s="64" customFormat="1" x14ac:dyDescent="0.25">
      <c r="A51" s="61"/>
      <c r="B51" s="61"/>
      <c r="C51" s="62"/>
      <c r="D51" s="63"/>
      <c r="E51" s="63"/>
      <c r="F51" s="63"/>
      <c r="H51" s="65"/>
      <c r="I51" s="66"/>
      <c r="J51" s="66"/>
      <c r="K51" s="98"/>
    </row>
    <row r="52" spans="1:11" s="64" customFormat="1" x14ac:dyDescent="0.25">
      <c r="A52" s="61"/>
      <c r="B52" s="61"/>
      <c r="C52" s="62"/>
      <c r="D52" s="63"/>
      <c r="E52" s="63"/>
      <c r="F52" s="63"/>
      <c r="H52" s="65"/>
      <c r="I52" s="66"/>
      <c r="J52" s="66"/>
      <c r="K52" s="98"/>
    </row>
    <row r="53" spans="1:11" s="64" customFormat="1" x14ac:dyDescent="0.25">
      <c r="A53" s="61"/>
      <c r="B53" s="61"/>
      <c r="C53" s="62"/>
      <c r="D53" s="63"/>
      <c r="E53" s="63"/>
      <c r="F53" s="63"/>
      <c r="H53" s="65"/>
      <c r="I53" s="66"/>
      <c r="J53" s="66"/>
      <c r="K53" s="98"/>
    </row>
    <row r="54" spans="1:11" s="64" customFormat="1" x14ac:dyDescent="0.25">
      <c r="A54" s="61"/>
      <c r="B54" s="61"/>
      <c r="C54" s="62"/>
      <c r="D54" s="63"/>
      <c r="E54" s="63"/>
      <c r="F54" s="63"/>
      <c r="H54" s="65"/>
      <c r="I54" s="66"/>
      <c r="J54" s="66"/>
      <c r="K54" s="98"/>
    </row>
    <row r="55" spans="1:11" s="64" customFormat="1" x14ac:dyDescent="0.25">
      <c r="A55" s="61"/>
      <c r="B55" s="61"/>
      <c r="C55" s="62"/>
      <c r="D55" s="63"/>
      <c r="E55" s="63"/>
      <c r="F55" s="63"/>
      <c r="H55" s="65"/>
      <c r="I55" s="66"/>
      <c r="J55" s="66"/>
      <c r="K55" s="98"/>
    </row>
    <row r="56" spans="1:11" s="64" customFormat="1" x14ac:dyDescent="0.25">
      <c r="A56" s="61"/>
      <c r="B56" s="61"/>
      <c r="C56" s="62"/>
      <c r="D56" s="63"/>
      <c r="E56" s="63"/>
      <c r="F56" s="63"/>
      <c r="H56" s="65"/>
      <c r="I56" s="66"/>
      <c r="J56" s="66"/>
      <c r="K56" s="98"/>
    </row>
    <row r="57" spans="1:11" s="64" customFormat="1" x14ac:dyDescent="0.25">
      <c r="A57" s="61"/>
      <c r="B57" s="61"/>
      <c r="C57" s="62"/>
      <c r="D57" s="63"/>
      <c r="E57" s="63"/>
      <c r="F57" s="63"/>
      <c r="H57" s="65"/>
      <c r="I57" s="66"/>
      <c r="J57" s="66"/>
      <c r="K57" s="98"/>
    </row>
    <row r="58" spans="1:11" s="64" customFormat="1" x14ac:dyDescent="0.25">
      <c r="A58" s="61"/>
      <c r="B58" s="61"/>
      <c r="C58" s="62"/>
      <c r="D58" s="63"/>
      <c r="E58" s="63"/>
      <c r="F58" s="63"/>
      <c r="H58" s="65"/>
      <c r="I58" s="66"/>
      <c r="J58" s="66"/>
      <c r="K58" s="98"/>
    </row>
    <row r="59" spans="1:11" s="64" customFormat="1" x14ac:dyDescent="0.25">
      <c r="A59" s="61"/>
      <c r="B59" s="61"/>
      <c r="C59" s="62"/>
      <c r="D59" s="63"/>
      <c r="E59" s="63"/>
      <c r="F59" s="63"/>
      <c r="H59" s="65"/>
      <c r="I59" s="66"/>
      <c r="J59" s="66"/>
      <c r="K59" s="98"/>
    </row>
    <row r="60" spans="1:11" s="64" customFormat="1" x14ac:dyDescent="0.25">
      <c r="A60" s="61"/>
      <c r="B60" s="61"/>
      <c r="C60" s="62"/>
      <c r="D60" s="63"/>
      <c r="E60" s="63"/>
      <c r="F60" s="63"/>
      <c r="H60" s="65"/>
      <c r="I60" s="66"/>
      <c r="J60" s="66"/>
      <c r="K60" s="98"/>
    </row>
    <row r="61" spans="1:11" s="64" customFormat="1" x14ac:dyDescent="0.25">
      <c r="A61" s="61"/>
      <c r="B61" s="61"/>
      <c r="C61" s="62"/>
      <c r="D61" s="63"/>
      <c r="E61" s="63"/>
      <c r="F61" s="63"/>
      <c r="H61" s="65"/>
      <c r="I61" s="66"/>
      <c r="J61" s="66"/>
      <c r="K61" s="98"/>
    </row>
    <row r="62" spans="1:11" s="64" customFormat="1" x14ac:dyDescent="0.25">
      <c r="A62" s="61"/>
      <c r="B62" s="61"/>
      <c r="C62" s="62"/>
      <c r="D62" s="63"/>
      <c r="E62" s="63"/>
      <c r="F62" s="63"/>
      <c r="H62" s="65"/>
      <c r="I62" s="66"/>
      <c r="J62" s="66"/>
      <c r="K62" s="98"/>
    </row>
    <row r="63" spans="1:11" s="64" customFormat="1" x14ac:dyDescent="0.25">
      <c r="A63" s="61"/>
      <c r="B63" s="61"/>
      <c r="C63" s="62"/>
      <c r="D63" s="63"/>
      <c r="E63" s="63"/>
      <c r="F63" s="63"/>
      <c r="H63" s="65"/>
      <c r="I63" s="66"/>
      <c r="J63" s="66"/>
      <c r="K63" s="98"/>
    </row>
    <row r="64" spans="1:11" s="64" customFormat="1" x14ac:dyDescent="0.25">
      <c r="A64" s="61"/>
      <c r="B64" s="61"/>
      <c r="C64" s="62"/>
      <c r="D64" s="63"/>
      <c r="E64" s="63"/>
      <c r="F64" s="63"/>
      <c r="H64" s="65"/>
      <c r="I64" s="66"/>
      <c r="J64" s="66"/>
      <c r="K64" s="98"/>
    </row>
  </sheetData>
  <mergeCells count="24">
    <mergeCell ref="C38:F38"/>
    <mergeCell ref="C39:F39"/>
    <mergeCell ref="C37:F37"/>
    <mergeCell ref="C41:F41"/>
    <mergeCell ref="C36:F36"/>
    <mergeCell ref="C35:F35"/>
    <mergeCell ref="C23:F23"/>
    <mergeCell ref="C24:F24"/>
    <mergeCell ref="C25:F25"/>
    <mergeCell ref="C26:F26"/>
    <mergeCell ref="C27:F27"/>
    <mergeCell ref="C28:F28"/>
    <mergeCell ref="C29:F29"/>
    <mergeCell ref="C31:F31"/>
    <mergeCell ref="C32:F32"/>
    <mergeCell ref="C33:F33"/>
    <mergeCell ref="C34:F34"/>
    <mergeCell ref="C30:F30"/>
    <mergeCell ref="C22:F22"/>
    <mergeCell ref="C17:F17"/>
    <mergeCell ref="C18:F18"/>
    <mergeCell ref="C19:F19"/>
    <mergeCell ref="C20:F20"/>
    <mergeCell ref="C21:F21"/>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colBreaks count="1" manualBreakCount="1">
    <brk id="10"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26" zoomScaleNormal="100" zoomScaleSheetLayoutView="100" workbookViewId="0">
      <selection activeCell="C23" sqref="C23:F23"/>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1" width="11.7109375" style="97"/>
    <col min="12" max="16384" width="11.7109375" style="3"/>
  </cols>
  <sheetData>
    <row r="1" spans="1:12" ht="21" customHeight="1" x14ac:dyDescent="0.25">
      <c r="A1" s="115" t="s">
        <v>461</v>
      </c>
      <c r="B1" s="2"/>
      <c r="C1" s="2"/>
      <c r="D1" s="2"/>
      <c r="E1" s="2"/>
      <c r="F1" s="2"/>
      <c r="G1" s="2"/>
      <c r="H1" s="2"/>
      <c r="I1" s="2"/>
      <c r="J1" s="97"/>
      <c r="K1" s="3"/>
    </row>
    <row r="2" spans="1:12" ht="4.5" customHeight="1" x14ac:dyDescent="0.25">
      <c r="A2" s="116"/>
      <c r="B2" s="2"/>
      <c r="C2" s="2"/>
      <c r="D2" s="2"/>
      <c r="E2" s="2"/>
      <c r="F2" s="2"/>
      <c r="G2" s="2"/>
      <c r="H2" s="2"/>
      <c r="I2" s="2"/>
      <c r="J2" s="97"/>
      <c r="K2" s="3"/>
    </row>
    <row r="3" spans="1:12" ht="14.25" x14ac:dyDescent="0.2">
      <c r="A3" s="117" t="s">
        <v>462</v>
      </c>
      <c r="B3" s="6"/>
      <c r="C3" s="6"/>
      <c r="D3" s="6"/>
      <c r="E3" s="6"/>
      <c r="F3" s="6"/>
      <c r="G3" s="6"/>
      <c r="H3" s="6"/>
      <c r="I3" s="6"/>
      <c r="J3" s="97"/>
      <c r="K3" s="3"/>
    </row>
    <row r="4" spans="1:12" ht="15" x14ac:dyDescent="0.2">
      <c r="A4" s="5" t="s">
        <v>463</v>
      </c>
      <c r="B4" s="6"/>
      <c r="C4" s="6"/>
      <c r="D4" s="6"/>
      <c r="E4" s="6"/>
      <c r="F4" s="6"/>
      <c r="G4" s="6"/>
      <c r="H4" s="6"/>
      <c r="I4" s="6"/>
      <c r="J4" s="97"/>
      <c r="K4" s="3"/>
    </row>
    <row r="5" spans="1:12" ht="3.75" customHeight="1" x14ac:dyDescent="0.2">
      <c r="A5" s="5"/>
      <c r="B5" s="5"/>
      <c r="C5" s="6"/>
      <c r="D5" s="6"/>
      <c r="E5" s="6"/>
      <c r="F5" s="6"/>
      <c r="G5" s="6"/>
      <c r="H5" s="6"/>
      <c r="I5" s="6"/>
      <c r="J5" s="6"/>
    </row>
    <row r="6" spans="1:12" x14ac:dyDescent="0.2">
      <c r="A6" s="7" t="s">
        <v>0</v>
      </c>
      <c r="B6" s="7"/>
      <c r="C6" s="8" t="s">
        <v>313</v>
      </c>
      <c r="D6" s="9"/>
      <c r="E6" s="9"/>
      <c r="F6" s="9"/>
      <c r="G6" s="10" t="s">
        <v>1</v>
      </c>
      <c r="H6" s="8" t="s">
        <v>2</v>
      </c>
      <c r="I6" s="9"/>
      <c r="J6" s="9"/>
    </row>
    <row r="7" spans="1:12" x14ac:dyDescent="0.2">
      <c r="A7" s="7" t="s">
        <v>3</v>
      </c>
      <c r="B7" s="7"/>
      <c r="C7" s="8" t="s">
        <v>4</v>
      </c>
      <c r="D7" s="9"/>
      <c r="E7" s="9"/>
      <c r="F7" s="9"/>
      <c r="G7" s="10" t="s">
        <v>5</v>
      </c>
      <c r="H7" s="8" t="s">
        <v>6</v>
      </c>
      <c r="I7" s="9"/>
      <c r="J7" s="9"/>
      <c r="L7" s="3">
        <v>80</v>
      </c>
    </row>
    <row r="8" spans="1:12" x14ac:dyDescent="0.2">
      <c r="A8" s="7" t="s">
        <v>7</v>
      </c>
      <c r="B8" s="7"/>
      <c r="C8" s="8" t="s">
        <v>36</v>
      </c>
      <c r="D8" s="9"/>
      <c r="E8" s="9"/>
      <c r="F8" s="9"/>
      <c r="G8" s="10" t="s">
        <v>8</v>
      </c>
      <c r="H8" s="8" t="s">
        <v>36</v>
      </c>
      <c r="I8" s="9"/>
      <c r="J8" s="9"/>
      <c r="L8" s="3">
        <v>54.5</v>
      </c>
    </row>
    <row r="9" spans="1:12" x14ac:dyDescent="0.2">
      <c r="A9" s="11" t="s">
        <v>29</v>
      </c>
      <c r="B9" s="11"/>
      <c r="C9" s="12"/>
      <c r="D9" s="12"/>
      <c r="E9" s="12"/>
      <c r="F9" s="12"/>
      <c r="G9" s="12"/>
      <c r="H9" s="12"/>
      <c r="I9" s="12"/>
      <c r="J9" s="12"/>
      <c r="L9" s="3">
        <v>5</v>
      </c>
    </row>
    <row r="10" spans="1:12" ht="15" customHeight="1" x14ac:dyDescent="0.2">
      <c r="A10" s="13" t="s">
        <v>9</v>
      </c>
      <c r="B10" s="13"/>
      <c r="C10" s="14"/>
      <c r="D10" s="14"/>
      <c r="E10" s="14"/>
      <c r="F10" s="14"/>
      <c r="G10" s="14"/>
      <c r="H10" s="14"/>
      <c r="I10" s="14"/>
      <c r="J10" s="14"/>
      <c r="L10" s="3">
        <v>59</v>
      </c>
    </row>
    <row r="11" spans="1:12" ht="12" customHeight="1" x14ac:dyDescent="0.2">
      <c r="A11" s="15" t="s">
        <v>10</v>
      </c>
      <c r="B11" s="15"/>
      <c r="C11" s="16" t="s">
        <v>456</v>
      </c>
      <c r="L11" s="3">
        <v>5</v>
      </c>
    </row>
    <row r="12" spans="1:12" ht="10.15" customHeight="1" x14ac:dyDescent="0.2">
      <c r="A12" s="15" t="s">
        <v>11</v>
      </c>
      <c r="B12" s="15"/>
      <c r="C12" s="3" t="s">
        <v>12</v>
      </c>
      <c r="G12" s="15"/>
      <c r="I12" s="15" t="s">
        <v>13</v>
      </c>
      <c r="L12" s="3">
        <v>72</v>
      </c>
    </row>
    <row r="13" spans="1:12" ht="10.15" customHeight="1" x14ac:dyDescent="0.2">
      <c r="A13" s="15" t="s">
        <v>14</v>
      </c>
      <c r="B13" s="15"/>
      <c r="C13" s="16" t="s">
        <v>314</v>
      </c>
      <c r="G13" s="15"/>
      <c r="I13" s="15" t="s">
        <v>15</v>
      </c>
      <c r="L13" s="3">
        <v>8.3000000000000007</v>
      </c>
    </row>
    <row r="14" spans="1:12" ht="10.15" customHeight="1" x14ac:dyDescent="0.2">
      <c r="A14" s="15" t="s">
        <v>16</v>
      </c>
      <c r="B14" s="15"/>
      <c r="C14" s="17">
        <f>J38</f>
        <v>124353.04395714286</v>
      </c>
      <c r="E14" s="15" t="s">
        <v>17</v>
      </c>
      <c r="F14" s="3" t="s">
        <v>18</v>
      </c>
      <c r="G14" s="15"/>
      <c r="I14" s="15"/>
      <c r="J14" s="18"/>
      <c r="L14" s="3">
        <v>30</v>
      </c>
    </row>
    <row r="15" spans="1:12" x14ac:dyDescent="0.2">
      <c r="A15" s="19" t="s">
        <v>19</v>
      </c>
      <c r="B15" s="20"/>
      <c r="C15" s="21" t="s">
        <v>20</v>
      </c>
      <c r="D15" s="21"/>
      <c r="E15" s="21"/>
      <c r="F15" s="20"/>
      <c r="G15" s="22" t="s">
        <v>21</v>
      </c>
      <c r="H15" s="23" t="s">
        <v>22</v>
      </c>
      <c r="I15" s="23" t="s">
        <v>23</v>
      </c>
      <c r="J15" s="23" t="s">
        <v>24</v>
      </c>
      <c r="L15" s="3">
        <f>SUM(L7:L14)</f>
        <v>313.8</v>
      </c>
    </row>
    <row r="16" spans="1:12" x14ac:dyDescent="0.2">
      <c r="A16" s="24" t="s">
        <v>25</v>
      </c>
      <c r="B16" s="25"/>
      <c r="C16" s="26"/>
      <c r="D16" s="26"/>
      <c r="E16" s="26"/>
      <c r="F16" s="26"/>
      <c r="G16" s="26"/>
      <c r="H16" s="27"/>
      <c r="I16" s="27"/>
      <c r="J16" s="28"/>
      <c r="K16" s="97" t="s">
        <v>77</v>
      </c>
    </row>
    <row r="17" spans="1:11" s="29" customFormat="1" ht="112.5" customHeight="1" x14ac:dyDescent="0.25">
      <c r="A17" s="75" t="s">
        <v>28</v>
      </c>
      <c r="B17" s="56"/>
      <c r="C17" s="158" t="s">
        <v>428</v>
      </c>
      <c r="D17" s="158"/>
      <c r="E17" s="158"/>
      <c r="F17" s="158"/>
      <c r="G17" s="57" t="s">
        <v>49</v>
      </c>
      <c r="H17" s="58">
        <v>3</v>
      </c>
      <c r="I17" s="59">
        <v>325</v>
      </c>
      <c r="J17" s="60">
        <f>I17*H17</f>
        <v>975</v>
      </c>
    </row>
    <row r="18" spans="1:11" s="29" customFormat="1" ht="125.25" customHeight="1" x14ac:dyDescent="0.25">
      <c r="A18" s="75" t="s">
        <v>30</v>
      </c>
      <c r="B18" s="56"/>
      <c r="C18" s="158" t="s">
        <v>429</v>
      </c>
      <c r="D18" s="158"/>
      <c r="E18" s="158"/>
      <c r="F18" s="158"/>
      <c r="G18" s="57" t="s">
        <v>48</v>
      </c>
      <c r="H18" s="58">
        <v>6.38</v>
      </c>
      <c r="I18" s="67">
        <v>643</v>
      </c>
      <c r="J18" s="60">
        <f>I18*H18</f>
        <v>4102.34</v>
      </c>
    </row>
    <row r="19" spans="1:11" s="29" customFormat="1" ht="114" customHeight="1" x14ac:dyDescent="0.25">
      <c r="A19" s="75" t="s">
        <v>31</v>
      </c>
      <c r="B19" s="56"/>
      <c r="C19" s="158" t="s">
        <v>430</v>
      </c>
      <c r="D19" s="158"/>
      <c r="E19" s="158"/>
      <c r="F19" s="158"/>
      <c r="G19" s="57" t="s">
        <v>48</v>
      </c>
      <c r="H19" s="58">
        <v>5.35</v>
      </c>
      <c r="I19" s="59">
        <v>24.32</v>
      </c>
      <c r="J19" s="60">
        <f>I19*H19</f>
        <v>130.11199999999999</v>
      </c>
      <c r="K19" s="29">
        <v>300</v>
      </c>
    </row>
    <row r="20" spans="1:11" s="29" customFormat="1" ht="66" customHeight="1" x14ac:dyDescent="0.25">
      <c r="A20" s="75" t="s">
        <v>32</v>
      </c>
      <c r="B20" s="56"/>
      <c r="C20" s="158" t="s">
        <v>431</v>
      </c>
      <c r="D20" s="158"/>
      <c r="E20" s="158"/>
      <c r="F20" s="158"/>
      <c r="G20" s="57" t="s">
        <v>47</v>
      </c>
      <c r="H20" s="58">
        <v>0.61</v>
      </c>
      <c r="I20" s="59">
        <v>495</v>
      </c>
      <c r="J20" s="60">
        <f>I20*H20</f>
        <v>301.95</v>
      </c>
    </row>
    <row r="21" spans="1:11" s="29" customFormat="1" ht="111" customHeight="1" x14ac:dyDescent="0.25">
      <c r="A21" s="75" t="s">
        <v>33</v>
      </c>
      <c r="B21" s="68"/>
      <c r="C21" s="158" t="s">
        <v>432</v>
      </c>
      <c r="D21" s="158"/>
      <c r="E21" s="158"/>
      <c r="F21" s="158"/>
      <c r="G21" s="57" t="s">
        <v>46</v>
      </c>
      <c r="H21" s="58">
        <v>4.8</v>
      </c>
      <c r="I21" s="67">
        <f>835.2+86.3</f>
        <v>921.5</v>
      </c>
      <c r="J21" s="60">
        <f>H21*I21</f>
        <v>4423.2</v>
      </c>
    </row>
    <row r="22" spans="1:11" s="96" customFormat="1" ht="138" customHeight="1" x14ac:dyDescent="0.25">
      <c r="A22" s="75" t="s">
        <v>37</v>
      </c>
      <c r="B22" s="56"/>
      <c r="C22" s="168" t="s">
        <v>315</v>
      </c>
      <c r="D22" s="169"/>
      <c r="E22" s="169"/>
      <c r="F22" s="170"/>
      <c r="G22" s="57" t="s">
        <v>49</v>
      </c>
      <c r="H22" s="58">
        <v>1</v>
      </c>
      <c r="I22" s="67">
        <v>1425.3</v>
      </c>
      <c r="J22" s="60">
        <f>H22*I22</f>
        <v>1425.3</v>
      </c>
      <c r="K22" s="95">
        <v>10000</v>
      </c>
    </row>
    <row r="23" spans="1:11" s="29" customFormat="1" ht="147" customHeight="1" x14ac:dyDescent="0.25">
      <c r="A23" s="75" t="s">
        <v>38</v>
      </c>
      <c r="B23" s="56"/>
      <c r="C23" s="168" t="s">
        <v>433</v>
      </c>
      <c r="D23" s="169"/>
      <c r="E23" s="169"/>
      <c r="F23" s="170"/>
      <c r="G23" s="57" t="s">
        <v>49</v>
      </c>
      <c r="H23" s="58">
        <v>1</v>
      </c>
      <c r="I23" s="67">
        <v>987.16</v>
      </c>
      <c r="J23" s="60">
        <f t="shared" ref="J23" si="0">I23*H23</f>
        <v>987.16</v>
      </c>
    </row>
    <row r="24" spans="1:11" s="29" customFormat="1" ht="122.25" customHeight="1" x14ac:dyDescent="0.25">
      <c r="A24" s="75" t="s">
        <v>39</v>
      </c>
      <c r="B24" s="68"/>
      <c r="C24" s="158" t="s">
        <v>435</v>
      </c>
      <c r="D24" s="158"/>
      <c r="E24" s="158"/>
      <c r="F24" s="158"/>
      <c r="G24" s="57" t="s">
        <v>49</v>
      </c>
      <c r="H24" s="58">
        <v>1</v>
      </c>
      <c r="I24" s="67">
        <v>262.2</v>
      </c>
      <c r="J24" s="60">
        <f t="shared" ref="J24" si="1">H24*I24</f>
        <v>262.2</v>
      </c>
    </row>
    <row r="25" spans="1:11" s="29" customFormat="1" ht="135" customHeight="1" x14ac:dyDescent="0.25">
      <c r="A25" s="75" t="s">
        <v>40</v>
      </c>
      <c r="B25" s="56"/>
      <c r="C25" s="158" t="s">
        <v>436</v>
      </c>
      <c r="D25" s="158"/>
      <c r="E25" s="158"/>
      <c r="F25" s="158"/>
      <c r="G25" s="57" t="s">
        <v>49</v>
      </c>
      <c r="H25" s="58">
        <v>1</v>
      </c>
      <c r="I25" s="59">
        <v>1316</v>
      </c>
      <c r="J25" s="60">
        <f t="shared" ref="J25:J28" si="2">I25*H25</f>
        <v>1316</v>
      </c>
    </row>
    <row r="26" spans="1:11" s="29" customFormat="1" ht="146.25" customHeight="1" x14ac:dyDescent="0.25">
      <c r="A26" s="75" t="s">
        <v>41</v>
      </c>
      <c r="B26" s="56"/>
      <c r="C26" s="154" t="s">
        <v>437</v>
      </c>
      <c r="D26" s="155"/>
      <c r="E26" s="155"/>
      <c r="F26" s="156"/>
      <c r="G26" s="57" t="s">
        <v>49</v>
      </c>
      <c r="H26" s="58">
        <v>1</v>
      </c>
      <c r="I26" s="59">
        <v>7896</v>
      </c>
      <c r="J26" s="60">
        <f t="shared" si="2"/>
        <v>7896</v>
      </c>
    </row>
    <row r="27" spans="1:11" s="29" customFormat="1" ht="130.5" customHeight="1" x14ac:dyDescent="0.25">
      <c r="A27" s="75" t="s">
        <v>42</v>
      </c>
      <c r="B27" s="56"/>
      <c r="C27" s="163" t="s">
        <v>438</v>
      </c>
      <c r="D27" s="164"/>
      <c r="E27" s="164"/>
      <c r="F27" s="164"/>
      <c r="G27" s="57" t="s">
        <v>49</v>
      </c>
      <c r="H27" s="58">
        <v>1</v>
      </c>
      <c r="I27" s="89">
        <f>6100*1.3/0.7</f>
        <v>11328.571428571429</v>
      </c>
      <c r="J27" s="60">
        <f>I27*H27</f>
        <v>11328.571428571429</v>
      </c>
    </row>
    <row r="28" spans="1:11" s="29" customFormat="1" ht="130.5" customHeight="1" x14ac:dyDescent="0.25">
      <c r="A28" s="75" t="s">
        <v>43</v>
      </c>
      <c r="B28" s="56"/>
      <c r="C28" s="163" t="s">
        <v>440</v>
      </c>
      <c r="D28" s="164"/>
      <c r="E28" s="164"/>
      <c r="F28" s="164"/>
      <c r="G28" s="57" t="s">
        <v>49</v>
      </c>
      <c r="H28" s="58">
        <v>1</v>
      </c>
      <c r="I28" s="59">
        <f>3650/0.7*1.3</f>
        <v>6778.5714285714294</v>
      </c>
      <c r="J28" s="60">
        <f t="shared" si="2"/>
        <v>6778.5714285714294</v>
      </c>
    </row>
    <row r="29" spans="1:11" s="29" customFormat="1" ht="104.25" customHeight="1" x14ac:dyDescent="0.25">
      <c r="A29" s="75" t="s">
        <v>44</v>
      </c>
      <c r="B29" s="56"/>
      <c r="C29" s="157" t="s">
        <v>78</v>
      </c>
      <c r="D29" s="158"/>
      <c r="E29" s="158"/>
      <c r="F29" s="158"/>
      <c r="G29" s="57" t="s">
        <v>46</v>
      </c>
      <c r="H29" s="58">
        <v>179.22</v>
      </c>
      <c r="I29" s="59">
        <v>24.32</v>
      </c>
      <c r="J29" s="60">
        <f>I29*H29</f>
        <v>4358.6304</v>
      </c>
      <c r="K29" s="29">
        <v>300</v>
      </c>
    </row>
    <row r="30" spans="1:11" s="29" customFormat="1" ht="91.5" customHeight="1" x14ac:dyDescent="0.25">
      <c r="A30" s="75" t="s">
        <v>45</v>
      </c>
      <c r="B30" s="56"/>
      <c r="C30" s="158" t="s">
        <v>101</v>
      </c>
      <c r="D30" s="158"/>
      <c r="E30" s="158"/>
      <c r="F30" s="158"/>
      <c r="G30" s="57" t="s">
        <v>46</v>
      </c>
      <c r="H30" s="58">
        <v>244.77</v>
      </c>
      <c r="I30" s="59">
        <v>32.26</v>
      </c>
      <c r="J30" s="60">
        <f t="shared" ref="J30" si="3">I30*H30</f>
        <v>7896.2802000000001</v>
      </c>
    </row>
    <row r="31" spans="1:11" s="29" customFormat="1" ht="113.25" customHeight="1" x14ac:dyDescent="0.25">
      <c r="A31" s="75" t="s">
        <v>50</v>
      </c>
      <c r="B31" s="68"/>
      <c r="C31" s="158" t="s">
        <v>442</v>
      </c>
      <c r="D31" s="158"/>
      <c r="E31" s="158"/>
      <c r="F31" s="158"/>
      <c r="G31" s="57" t="s">
        <v>46</v>
      </c>
      <c r="H31" s="58">
        <v>179.22</v>
      </c>
      <c r="I31" s="67">
        <v>87.15</v>
      </c>
      <c r="J31" s="60">
        <f t="shared" ref="J31:J32" si="4">H31*I31</f>
        <v>15619.023000000001</v>
      </c>
    </row>
    <row r="32" spans="1:11" s="29" customFormat="1" ht="113.25" customHeight="1" x14ac:dyDescent="0.25">
      <c r="A32" s="75" t="s">
        <v>51</v>
      </c>
      <c r="B32" s="68"/>
      <c r="C32" s="158" t="s">
        <v>443</v>
      </c>
      <c r="D32" s="158"/>
      <c r="E32" s="158"/>
      <c r="F32" s="158"/>
      <c r="G32" s="57" t="s">
        <v>46</v>
      </c>
      <c r="H32" s="58">
        <v>244.77</v>
      </c>
      <c r="I32" s="67">
        <v>87.15</v>
      </c>
      <c r="J32" s="60">
        <f t="shared" si="4"/>
        <v>21331.705500000004</v>
      </c>
    </row>
    <row r="33" spans="1:11" s="29" customFormat="1" ht="130.5" customHeight="1" x14ac:dyDescent="0.25">
      <c r="A33" s="75" t="s">
        <v>52</v>
      </c>
      <c r="B33" s="56"/>
      <c r="C33" s="163" t="s">
        <v>445</v>
      </c>
      <c r="D33" s="164"/>
      <c r="E33" s="164"/>
      <c r="F33" s="164"/>
      <c r="G33" s="57" t="s">
        <v>49</v>
      </c>
      <c r="H33" s="58">
        <v>1</v>
      </c>
      <c r="I33" s="59">
        <v>6485</v>
      </c>
      <c r="J33" s="60">
        <f t="shared" ref="J33" si="5">I33*H33</f>
        <v>6485</v>
      </c>
    </row>
    <row r="34" spans="1:11" s="29" customFormat="1" ht="96" customHeight="1" x14ac:dyDescent="0.25">
      <c r="A34" s="75" t="s">
        <v>53</v>
      </c>
      <c r="B34" s="56"/>
      <c r="C34" s="163" t="s">
        <v>447</v>
      </c>
      <c r="D34" s="164"/>
      <c r="E34" s="164"/>
      <c r="F34" s="164"/>
      <c r="G34" s="57" t="s">
        <v>49</v>
      </c>
      <c r="H34" s="58">
        <v>1</v>
      </c>
      <c r="I34" s="59">
        <v>28736</v>
      </c>
      <c r="J34" s="60">
        <f t="shared" ref="J34" si="6">I34*H34</f>
        <v>28736</v>
      </c>
    </row>
    <row r="35" spans="1:11" s="29" customFormat="1" x14ac:dyDescent="0.25">
      <c r="A35" s="75"/>
      <c r="B35" s="56"/>
      <c r="C35" s="137"/>
      <c r="D35" s="138"/>
      <c r="E35" s="138"/>
      <c r="F35" s="138"/>
      <c r="G35" s="57"/>
      <c r="H35" s="58"/>
      <c r="I35" s="59"/>
      <c r="J35" s="60"/>
    </row>
    <row r="36" spans="1:11" s="29" customFormat="1" ht="12" thickBot="1" x14ac:dyDescent="0.3">
      <c r="A36" s="30"/>
      <c r="B36" s="31"/>
      <c r="C36" s="162"/>
      <c r="D36" s="162"/>
      <c r="E36" s="162"/>
      <c r="F36" s="162"/>
      <c r="G36" s="32"/>
      <c r="H36" s="33"/>
      <c r="I36" s="34" t="s">
        <v>26</v>
      </c>
      <c r="J36" s="35">
        <f>SUM(J17:J35)</f>
        <v>124353.04395714286</v>
      </c>
      <c r="K36" s="77">
        <f>SUM(K17:K33)</f>
        <v>10600</v>
      </c>
    </row>
    <row r="37" spans="1:11" x14ac:dyDescent="0.2">
      <c r="A37" s="39"/>
      <c r="B37" s="40"/>
      <c r="C37" s="40"/>
      <c r="D37" s="40"/>
      <c r="E37" s="40"/>
      <c r="F37" s="41"/>
      <c r="G37" s="48"/>
      <c r="H37" s="49"/>
      <c r="I37" s="50"/>
      <c r="J37" s="36"/>
    </row>
    <row r="38" spans="1:11" x14ac:dyDescent="0.2">
      <c r="A38" s="42" t="s">
        <v>27</v>
      </c>
      <c r="B38" s="21"/>
      <c r="C38" s="43"/>
      <c r="D38" s="43"/>
      <c r="E38" s="43"/>
      <c r="F38" s="44"/>
      <c r="G38" s="51"/>
      <c r="H38" s="52"/>
      <c r="I38" s="53"/>
      <c r="J38" s="37">
        <f>J36</f>
        <v>124353.04395714286</v>
      </c>
    </row>
    <row r="39" spans="1:11" ht="12" thickBot="1" x14ac:dyDescent="0.25">
      <c r="A39" s="45"/>
      <c r="B39" s="46"/>
      <c r="C39" s="46"/>
      <c r="D39" s="46"/>
      <c r="E39" s="46"/>
      <c r="F39" s="47"/>
      <c r="G39" s="54"/>
      <c r="H39" s="46"/>
      <c r="I39" s="47"/>
      <c r="J39" s="38"/>
    </row>
    <row r="41" spans="1:11" s="64" customFormat="1" x14ac:dyDescent="0.25">
      <c r="A41" s="61" t="s">
        <v>66</v>
      </c>
      <c r="B41" s="61" t="s">
        <v>67</v>
      </c>
      <c r="C41" s="62"/>
      <c r="D41" s="63"/>
      <c r="E41" s="63"/>
      <c r="F41" s="63"/>
      <c r="H41" s="65"/>
      <c r="I41" s="66"/>
      <c r="J41" s="66"/>
      <c r="K41" s="98"/>
    </row>
    <row r="42" spans="1:11" s="64" customFormat="1" x14ac:dyDescent="0.25">
      <c r="A42" s="61"/>
      <c r="B42" s="61"/>
      <c r="C42" s="62"/>
      <c r="D42" s="63"/>
      <c r="E42" s="63"/>
      <c r="F42" s="63"/>
      <c r="H42" s="65"/>
      <c r="I42" s="66"/>
      <c r="J42" s="66"/>
      <c r="K42" s="98"/>
    </row>
    <row r="43" spans="1:11" s="64" customFormat="1" x14ac:dyDescent="0.25">
      <c r="A43" s="61"/>
      <c r="B43" s="61"/>
      <c r="C43" s="62"/>
      <c r="D43" s="63"/>
      <c r="E43" s="63"/>
      <c r="F43" s="63"/>
      <c r="H43" s="65"/>
      <c r="I43" s="66"/>
      <c r="J43" s="66"/>
      <c r="K43" s="98"/>
    </row>
    <row r="44" spans="1:11" s="64" customFormat="1" x14ac:dyDescent="0.25">
      <c r="A44" s="61"/>
      <c r="B44" s="61"/>
      <c r="C44" s="62"/>
      <c r="D44" s="63"/>
      <c r="E44" s="63"/>
      <c r="F44" s="63"/>
      <c r="H44" s="65"/>
      <c r="I44" s="66"/>
      <c r="J44" s="66"/>
      <c r="K44" s="98"/>
    </row>
    <row r="45" spans="1:11" s="64" customFormat="1" x14ac:dyDescent="0.25">
      <c r="A45" s="61"/>
      <c r="B45" s="61"/>
      <c r="C45" s="62"/>
      <c r="D45" s="63"/>
      <c r="E45" s="63"/>
      <c r="F45" s="63"/>
      <c r="H45" s="65"/>
      <c r="I45" s="66"/>
      <c r="J45" s="66"/>
      <c r="K45" s="98"/>
    </row>
    <row r="46" spans="1:11" s="64" customFormat="1" x14ac:dyDescent="0.25">
      <c r="A46" s="61"/>
      <c r="B46" s="61"/>
      <c r="C46" s="62"/>
      <c r="D46" s="63"/>
      <c r="E46" s="63"/>
      <c r="F46" s="63"/>
      <c r="H46" s="65"/>
      <c r="I46" s="66"/>
      <c r="J46" s="66"/>
      <c r="K46" s="98"/>
    </row>
    <row r="47" spans="1:11" s="64" customFormat="1" x14ac:dyDescent="0.25">
      <c r="A47" s="61"/>
      <c r="B47" s="61"/>
      <c r="C47" s="62"/>
      <c r="D47" s="63"/>
      <c r="E47" s="63"/>
      <c r="F47" s="63"/>
      <c r="H47" s="65"/>
      <c r="I47" s="66"/>
      <c r="J47" s="66"/>
      <c r="K47" s="98"/>
    </row>
    <row r="48" spans="1:11" s="64" customFormat="1" x14ac:dyDescent="0.25">
      <c r="A48" s="61"/>
      <c r="B48" s="61"/>
      <c r="C48" s="62"/>
      <c r="D48" s="63"/>
      <c r="E48" s="63"/>
      <c r="F48" s="63"/>
      <c r="H48" s="65"/>
      <c r="I48" s="66"/>
      <c r="J48" s="66"/>
      <c r="K48" s="98"/>
    </row>
    <row r="49" spans="1:11" s="64" customFormat="1" x14ac:dyDescent="0.25">
      <c r="A49" s="61"/>
      <c r="B49" s="61"/>
      <c r="C49" s="62"/>
      <c r="D49" s="63"/>
      <c r="E49" s="63"/>
      <c r="F49" s="63"/>
      <c r="H49" s="65"/>
      <c r="I49" s="66"/>
      <c r="J49" s="66"/>
      <c r="K49" s="98"/>
    </row>
    <row r="50" spans="1:11" s="64" customFormat="1" x14ac:dyDescent="0.25">
      <c r="A50" s="61"/>
      <c r="B50" s="61"/>
      <c r="C50" s="62"/>
      <c r="D50" s="63"/>
      <c r="E50" s="63"/>
      <c r="F50" s="63"/>
      <c r="H50" s="65"/>
      <c r="I50" s="66"/>
      <c r="J50" s="66"/>
      <c r="K50" s="98"/>
    </row>
    <row r="51" spans="1:11" s="64" customFormat="1" x14ac:dyDescent="0.25">
      <c r="A51" s="61"/>
      <c r="B51" s="61"/>
      <c r="C51" s="62"/>
      <c r="D51" s="63"/>
      <c r="E51" s="63"/>
      <c r="F51" s="63"/>
      <c r="H51" s="65"/>
      <c r="I51" s="66"/>
      <c r="J51" s="66"/>
      <c r="K51" s="98"/>
    </row>
    <row r="52" spans="1:11" s="64" customFormat="1" x14ac:dyDescent="0.25">
      <c r="A52" s="61"/>
      <c r="B52" s="61"/>
      <c r="C52" s="62"/>
      <c r="D52" s="63"/>
      <c r="E52" s="63"/>
      <c r="F52" s="63"/>
      <c r="H52" s="65"/>
      <c r="I52" s="66"/>
      <c r="J52" s="66"/>
      <c r="K52" s="98"/>
    </row>
    <row r="53" spans="1:11" s="64" customFormat="1" x14ac:dyDescent="0.25">
      <c r="A53" s="61"/>
      <c r="B53" s="61"/>
      <c r="C53" s="62"/>
      <c r="D53" s="63"/>
      <c r="E53" s="63"/>
      <c r="F53" s="63"/>
      <c r="H53" s="65"/>
      <c r="I53" s="66"/>
      <c r="J53" s="66"/>
      <c r="K53" s="98"/>
    </row>
    <row r="54" spans="1:11" s="64" customFormat="1" x14ac:dyDescent="0.25">
      <c r="A54" s="61"/>
      <c r="B54" s="61"/>
      <c r="C54" s="62"/>
      <c r="D54" s="63"/>
      <c r="E54" s="63"/>
      <c r="F54" s="63"/>
      <c r="H54" s="65"/>
      <c r="I54" s="66"/>
      <c r="J54" s="66"/>
      <c r="K54" s="98"/>
    </row>
    <row r="55" spans="1:11" s="64" customFormat="1" x14ac:dyDescent="0.25">
      <c r="A55" s="61"/>
      <c r="B55" s="61"/>
      <c r="C55" s="62"/>
      <c r="D55" s="63"/>
      <c r="E55" s="63"/>
      <c r="F55" s="63"/>
      <c r="H55" s="65"/>
      <c r="I55" s="66"/>
      <c r="J55" s="66"/>
      <c r="K55" s="98"/>
    </row>
    <row r="56" spans="1:11" s="64" customFormat="1" x14ac:dyDescent="0.25">
      <c r="A56" s="61"/>
      <c r="B56" s="61"/>
      <c r="C56" s="62"/>
      <c r="D56" s="63"/>
      <c r="E56" s="63"/>
      <c r="F56" s="63"/>
      <c r="H56" s="65"/>
      <c r="I56" s="66"/>
      <c r="J56" s="66"/>
      <c r="K56" s="98"/>
    </row>
    <row r="57" spans="1:11" s="64" customFormat="1" x14ac:dyDescent="0.25">
      <c r="A57" s="61"/>
      <c r="B57" s="61"/>
      <c r="C57" s="62"/>
      <c r="D57" s="63"/>
      <c r="E57" s="63"/>
      <c r="F57" s="63"/>
      <c r="H57" s="65"/>
      <c r="I57" s="66"/>
      <c r="J57" s="66"/>
      <c r="K57" s="98"/>
    </row>
    <row r="58" spans="1:11" s="64" customFormat="1" x14ac:dyDescent="0.25">
      <c r="A58" s="61"/>
      <c r="B58" s="61"/>
      <c r="C58" s="62"/>
      <c r="D58" s="63"/>
      <c r="E58" s="63"/>
      <c r="F58" s="63"/>
      <c r="H58" s="65"/>
      <c r="I58" s="66"/>
      <c r="J58" s="66"/>
      <c r="K58" s="98"/>
    </row>
    <row r="59" spans="1:11" s="64" customFormat="1" x14ac:dyDescent="0.25">
      <c r="A59" s="61"/>
      <c r="B59" s="61"/>
      <c r="C59" s="62"/>
      <c r="D59" s="63"/>
      <c r="E59" s="63"/>
      <c r="F59" s="63"/>
      <c r="H59" s="65"/>
      <c r="I59" s="66"/>
      <c r="J59" s="66"/>
      <c r="K59" s="98"/>
    </row>
  </sheetData>
  <mergeCells count="19">
    <mergeCell ref="C36:F36"/>
    <mergeCell ref="C30:F30"/>
    <mergeCell ref="C34:F34"/>
    <mergeCell ref="C33:F33"/>
    <mergeCell ref="C28:F28"/>
    <mergeCell ref="C29:F29"/>
    <mergeCell ref="C31:F31"/>
    <mergeCell ref="C32:F32"/>
    <mergeCell ref="C23:F23"/>
    <mergeCell ref="C24:F24"/>
    <mergeCell ref="C25:F25"/>
    <mergeCell ref="C26:F26"/>
    <mergeCell ref="C27:F27"/>
    <mergeCell ref="C22:F22"/>
    <mergeCell ref="C17:F17"/>
    <mergeCell ref="C18:F18"/>
    <mergeCell ref="C19:F19"/>
    <mergeCell ref="C20:F20"/>
    <mergeCell ref="C21:F21"/>
  </mergeCells>
  <pageMargins left="0.70866141732283472" right="0.70866141732283472" top="1.1417322834645669" bottom="0.74803149606299213" header="0.31496062992125984" footer="0.31496062992125984"/>
  <pageSetup scale="88" orientation="portrait" r:id="rId1"/>
  <headerFooter>
    <oddHeader>&amp;C&amp;G</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Normal="100" zoomScaleSheetLayoutView="100" workbookViewId="0">
      <selection sqref="A1:XFD1048576"/>
    </sheetView>
  </sheetViews>
  <sheetFormatPr baseColWidth="10" defaultColWidth="11.7109375" defaultRowHeight="11.25" x14ac:dyDescent="0.2"/>
  <cols>
    <col min="1" max="1" width="10.28515625" style="3" customWidth="1"/>
    <col min="2" max="2" width="11" style="3" customWidth="1"/>
    <col min="3" max="3" width="10.7109375" style="3" customWidth="1"/>
    <col min="4" max="5" width="9.7109375" style="3" customWidth="1"/>
    <col min="6" max="6" width="11.28515625" style="3" bestFit="1" customWidth="1"/>
    <col min="7" max="7" width="9.85546875" style="3" customWidth="1"/>
    <col min="8" max="8" width="12.7109375" style="3" customWidth="1"/>
    <col min="9" max="9" width="11.42578125" style="3" customWidth="1"/>
    <col min="10" max="10" width="11.7109375" style="97"/>
    <col min="11" max="16384" width="11.7109375" style="3"/>
  </cols>
  <sheetData>
    <row r="1" spans="1:11" ht="21" customHeight="1" x14ac:dyDescent="0.25">
      <c r="A1" s="115" t="s">
        <v>461</v>
      </c>
      <c r="B1" s="2"/>
      <c r="C1" s="2"/>
      <c r="D1" s="2"/>
      <c r="E1" s="2"/>
      <c r="F1" s="2"/>
      <c r="G1" s="2"/>
      <c r="H1" s="2"/>
      <c r="I1" s="2"/>
    </row>
    <row r="2" spans="1:11" ht="4.5" customHeight="1" x14ac:dyDescent="0.25">
      <c r="A2" s="116"/>
      <c r="B2" s="2"/>
      <c r="C2" s="2"/>
      <c r="D2" s="2"/>
      <c r="E2" s="2"/>
      <c r="F2" s="2"/>
      <c r="G2" s="2"/>
      <c r="H2" s="2"/>
      <c r="I2" s="2"/>
    </row>
    <row r="3" spans="1:11" ht="14.25" x14ac:dyDescent="0.2">
      <c r="A3" s="117" t="s">
        <v>462</v>
      </c>
      <c r="B3" s="6"/>
      <c r="C3" s="6"/>
      <c r="D3" s="6"/>
      <c r="E3" s="6"/>
      <c r="F3" s="6"/>
      <c r="G3" s="6"/>
      <c r="H3" s="6"/>
      <c r="I3" s="6"/>
    </row>
    <row r="4" spans="1:11" ht="15" x14ac:dyDescent="0.2">
      <c r="A4" s="5" t="s">
        <v>463</v>
      </c>
      <c r="B4" s="6"/>
      <c r="C4" s="6"/>
      <c r="D4" s="6"/>
      <c r="E4" s="6"/>
      <c r="F4" s="6"/>
      <c r="G4" s="6"/>
      <c r="H4" s="6"/>
      <c r="I4" s="6"/>
    </row>
    <row r="5" spans="1:11" ht="3.75" customHeight="1" x14ac:dyDescent="0.2">
      <c r="A5" s="5"/>
      <c r="B5" s="5"/>
      <c r="C5" s="6"/>
      <c r="D5" s="6"/>
      <c r="E5" s="6"/>
      <c r="F5" s="6"/>
      <c r="G5" s="6"/>
      <c r="H5" s="6"/>
      <c r="I5" s="6"/>
      <c r="J5" s="6"/>
      <c r="K5" s="97"/>
    </row>
    <row r="6" spans="1:11" x14ac:dyDescent="0.2">
      <c r="A6" s="7" t="s">
        <v>0</v>
      </c>
      <c r="B6" s="8" t="s">
        <v>316</v>
      </c>
      <c r="C6" s="9"/>
      <c r="D6" s="9"/>
      <c r="E6" s="9"/>
      <c r="F6" s="10" t="s">
        <v>1</v>
      </c>
      <c r="G6" s="8" t="s">
        <v>2</v>
      </c>
      <c r="H6" s="9"/>
      <c r="I6" s="9"/>
    </row>
    <row r="7" spans="1:11" x14ac:dyDescent="0.2">
      <c r="A7" s="7" t="s">
        <v>3</v>
      </c>
      <c r="B7" s="8" t="s">
        <v>317</v>
      </c>
      <c r="C7" s="9"/>
      <c r="D7" s="9"/>
      <c r="E7" s="9"/>
      <c r="F7" s="10" t="s">
        <v>5</v>
      </c>
      <c r="G7" s="8" t="s">
        <v>6</v>
      </c>
      <c r="H7" s="9"/>
      <c r="I7" s="9"/>
    </row>
    <row r="8" spans="1:11" x14ac:dyDescent="0.2">
      <c r="A8" s="7" t="s">
        <v>7</v>
      </c>
      <c r="B8" s="8" t="s">
        <v>36</v>
      </c>
      <c r="C8" s="9"/>
      <c r="D8" s="9"/>
      <c r="E8" s="9"/>
      <c r="F8" s="10" t="s">
        <v>8</v>
      </c>
      <c r="G8" s="8" t="s">
        <v>36</v>
      </c>
      <c r="H8" s="9"/>
      <c r="I8" s="9"/>
    </row>
    <row r="9" spans="1:11" x14ac:dyDescent="0.2">
      <c r="A9" s="11" t="s">
        <v>318</v>
      </c>
      <c r="B9" s="12"/>
      <c r="C9" s="12"/>
      <c r="D9" s="12"/>
      <c r="E9" s="12"/>
      <c r="F9" s="12"/>
      <c r="G9" s="12"/>
      <c r="H9" s="12"/>
      <c r="I9" s="12"/>
    </row>
    <row r="10" spans="1:11" ht="15" customHeight="1" x14ac:dyDescent="0.2">
      <c r="A10" s="13" t="s">
        <v>9</v>
      </c>
      <c r="B10" s="14"/>
      <c r="C10" s="14"/>
      <c r="D10" s="14"/>
      <c r="E10" s="14"/>
      <c r="F10" s="14"/>
      <c r="G10" s="14"/>
      <c r="H10" s="14"/>
      <c r="I10" s="14"/>
    </row>
    <row r="11" spans="1:11" ht="12" customHeight="1" x14ac:dyDescent="0.2">
      <c r="A11" s="15" t="s">
        <v>10</v>
      </c>
      <c r="B11" s="118" t="s">
        <v>319</v>
      </c>
    </row>
    <row r="12" spans="1:11" ht="10.15" customHeight="1" x14ac:dyDescent="0.2">
      <c r="A12" s="15" t="s">
        <v>11</v>
      </c>
      <c r="B12" s="3" t="s">
        <v>12</v>
      </c>
      <c r="F12" s="15"/>
      <c r="H12" s="15" t="s">
        <v>13</v>
      </c>
    </row>
    <row r="13" spans="1:11" ht="10.15" customHeight="1" x14ac:dyDescent="0.2">
      <c r="A13" s="15" t="s">
        <v>14</v>
      </c>
      <c r="B13" s="16" t="s">
        <v>320</v>
      </c>
      <c r="F13" s="15"/>
      <c r="H13" s="15" t="s">
        <v>15</v>
      </c>
    </row>
    <row r="14" spans="1:11" ht="10.15" customHeight="1" x14ac:dyDescent="0.2">
      <c r="A14" s="15" t="s">
        <v>16</v>
      </c>
      <c r="B14" s="17">
        <f>I43</f>
        <v>81726.641000000003</v>
      </c>
      <c r="D14" s="15" t="s">
        <v>17</v>
      </c>
      <c r="E14" s="3" t="s">
        <v>18</v>
      </c>
      <c r="F14" s="15"/>
      <c r="H14" s="15"/>
      <c r="I14" s="18"/>
    </row>
    <row r="15" spans="1:11" x14ac:dyDescent="0.2">
      <c r="A15" s="19" t="s">
        <v>19</v>
      </c>
      <c r="B15" s="21" t="s">
        <v>20</v>
      </c>
      <c r="C15" s="21"/>
      <c r="D15" s="21"/>
      <c r="E15" s="20"/>
      <c r="F15" s="22" t="s">
        <v>21</v>
      </c>
      <c r="G15" s="23" t="s">
        <v>22</v>
      </c>
      <c r="H15" s="23" t="s">
        <v>23</v>
      </c>
      <c r="I15" s="23" t="s">
        <v>24</v>
      </c>
    </row>
    <row r="16" spans="1:11" x14ac:dyDescent="0.2">
      <c r="A16" s="24" t="s">
        <v>25</v>
      </c>
      <c r="B16" s="26"/>
      <c r="C16" s="26"/>
      <c r="D16" s="26"/>
      <c r="E16" s="26"/>
      <c r="F16" s="26"/>
      <c r="G16" s="27"/>
      <c r="H16" s="27"/>
      <c r="I16" s="28"/>
    </row>
    <row r="17" spans="1:10" s="29" customFormat="1" ht="123" customHeight="1" x14ac:dyDescent="0.25">
      <c r="A17" s="55" t="s">
        <v>28</v>
      </c>
      <c r="B17" s="158" t="s">
        <v>321</v>
      </c>
      <c r="C17" s="158"/>
      <c r="D17" s="158"/>
      <c r="E17" s="158"/>
      <c r="F17" s="57" t="s">
        <v>46</v>
      </c>
      <c r="G17" s="58">
        <v>6.18</v>
      </c>
      <c r="H17" s="119">
        <v>135.19999999999999</v>
      </c>
      <c r="I17" s="60">
        <f t="shared" ref="I17:I18" si="0">G17*H17</f>
        <v>835.53599999999994</v>
      </c>
      <c r="J17" s="77"/>
    </row>
    <row r="18" spans="1:10" s="29" customFormat="1" ht="45" customHeight="1" x14ac:dyDescent="0.25">
      <c r="A18" s="55" t="s">
        <v>30</v>
      </c>
      <c r="B18" s="158" t="s">
        <v>322</v>
      </c>
      <c r="C18" s="158"/>
      <c r="D18" s="158"/>
      <c r="E18" s="158"/>
      <c r="F18" s="57" t="s">
        <v>47</v>
      </c>
      <c r="G18" s="59">
        <v>3.13</v>
      </c>
      <c r="H18" s="34">
        <v>495</v>
      </c>
      <c r="I18" s="60">
        <f t="shared" si="0"/>
        <v>1549.35</v>
      </c>
      <c r="J18" s="77"/>
    </row>
    <row r="19" spans="1:10" s="29" customFormat="1" ht="101.25" customHeight="1" x14ac:dyDescent="0.25">
      <c r="A19" s="55" t="s">
        <v>31</v>
      </c>
      <c r="B19" s="158" t="s">
        <v>323</v>
      </c>
      <c r="C19" s="158"/>
      <c r="D19" s="158"/>
      <c r="E19" s="158"/>
      <c r="F19" s="57" t="s">
        <v>49</v>
      </c>
      <c r="G19" s="59">
        <v>1</v>
      </c>
      <c r="H19" s="67">
        <v>1315</v>
      </c>
      <c r="I19" s="60">
        <f>G19*H19</f>
        <v>1315</v>
      </c>
    </row>
    <row r="20" spans="1:10" s="29" customFormat="1" ht="102.75" customHeight="1" x14ac:dyDescent="0.25">
      <c r="A20" s="55" t="s">
        <v>32</v>
      </c>
      <c r="B20" s="154" t="s">
        <v>324</v>
      </c>
      <c r="C20" s="155"/>
      <c r="D20" s="155"/>
      <c r="E20" s="156"/>
      <c r="F20" s="57" t="s">
        <v>46</v>
      </c>
      <c r="G20" s="59">
        <v>0.52</v>
      </c>
      <c r="H20" s="67">
        <v>487.15</v>
      </c>
      <c r="I20" s="60">
        <f>G20*H20</f>
        <v>253.31799999999998</v>
      </c>
    </row>
    <row r="21" spans="1:10" s="29" customFormat="1" ht="102.75" customHeight="1" x14ac:dyDescent="0.25">
      <c r="A21" s="55" t="s">
        <v>33</v>
      </c>
      <c r="B21" s="154" t="s">
        <v>325</v>
      </c>
      <c r="C21" s="155"/>
      <c r="D21" s="155"/>
      <c r="E21" s="156"/>
      <c r="F21" s="57" t="s">
        <v>49</v>
      </c>
      <c r="G21" s="59">
        <v>7</v>
      </c>
      <c r="H21" s="67">
        <v>85.3</v>
      </c>
      <c r="I21" s="60">
        <f t="shared" ref="I21" si="1">G21*H21</f>
        <v>597.1</v>
      </c>
    </row>
    <row r="22" spans="1:10" s="29" customFormat="1" ht="102" customHeight="1" x14ac:dyDescent="0.25">
      <c r="A22" s="55" t="s">
        <v>37</v>
      </c>
      <c r="B22" s="157" t="s">
        <v>281</v>
      </c>
      <c r="C22" s="158"/>
      <c r="D22" s="158"/>
      <c r="E22" s="158"/>
      <c r="F22" s="57" t="s">
        <v>46</v>
      </c>
      <c r="G22" s="58">
        <f>25.45+61.53</f>
        <v>86.98</v>
      </c>
      <c r="H22" s="59">
        <v>24.32</v>
      </c>
      <c r="I22" s="60">
        <f>H22*G22</f>
        <v>2115.3535999999999</v>
      </c>
      <c r="J22" s="29">
        <v>300</v>
      </c>
    </row>
    <row r="23" spans="1:10" s="29" customFormat="1" ht="134.25" customHeight="1" x14ac:dyDescent="0.25">
      <c r="A23" s="55" t="s">
        <v>38</v>
      </c>
      <c r="B23" s="158" t="s">
        <v>460</v>
      </c>
      <c r="C23" s="158"/>
      <c r="D23" s="158"/>
      <c r="E23" s="158"/>
      <c r="F23" s="57" t="s">
        <v>46</v>
      </c>
      <c r="G23" s="58">
        <f>G22</f>
        <v>86.98</v>
      </c>
      <c r="H23" s="67">
        <v>65</v>
      </c>
      <c r="I23" s="60">
        <f>G23*H23</f>
        <v>5653.7</v>
      </c>
    </row>
    <row r="24" spans="1:10" s="29" customFormat="1" ht="134.25" customHeight="1" x14ac:dyDescent="0.25">
      <c r="A24" s="55" t="s">
        <v>39</v>
      </c>
      <c r="B24" s="158" t="s">
        <v>459</v>
      </c>
      <c r="C24" s="158"/>
      <c r="D24" s="158"/>
      <c r="E24" s="158"/>
      <c r="F24" s="57" t="s">
        <v>46</v>
      </c>
      <c r="G24" s="58">
        <v>2.44</v>
      </c>
      <c r="H24" s="67">
        <v>65</v>
      </c>
      <c r="I24" s="60">
        <f>G24*H24</f>
        <v>158.6</v>
      </c>
    </row>
    <row r="25" spans="1:10" s="29" customFormat="1" ht="124.5" customHeight="1" x14ac:dyDescent="0.25">
      <c r="A25" s="55" t="s">
        <v>40</v>
      </c>
      <c r="B25" s="181" t="s">
        <v>326</v>
      </c>
      <c r="C25" s="182"/>
      <c r="D25" s="182"/>
      <c r="E25" s="182"/>
      <c r="F25" s="124" t="s">
        <v>46</v>
      </c>
      <c r="G25" s="125">
        <v>35.57</v>
      </c>
      <c r="H25" s="126">
        <v>24.32</v>
      </c>
      <c r="I25" s="127">
        <f>H25*G25</f>
        <v>865.06240000000003</v>
      </c>
      <c r="J25" s="29">
        <v>300</v>
      </c>
    </row>
    <row r="26" spans="1:10" s="29" customFormat="1" ht="135.75" customHeight="1" x14ac:dyDescent="0.25">
      <c r="A26" s="55" t="s">
        <v>41</v>
      </c>
      <c r="B26" s="158" t="s">
        <v>327</v>
      </c>
      <c r="C26" s="158"/>
      <c r="D26" s="158"/>
      <c r="E26" s="158"/>
      <c r="F26" s="57" t="s">
        <v>46</v>
      </c>
      <c r="G26" s="58">
        <f>G25</f>
        <v>35.57</v>
      </c>
      <c r="H26" s="67">
        <v>65</v>
      </c>
      <c r="I26" s="60">
        <f t="shared" ref="I26:I30" si="2">G26*H26</f>
        <v>2312.0500000000002</v>
      </c>
    </row>
    <row r="27" spans="1:10" s="29" customFormat="1" ht="114" customHeight="1" x14ac:dyDescent="0.25">
      <c r="A27" s="55" t="s">
        <v>42</v>
      </c>
      <c r="B27" s="158" t="s">
        <v>328</v>
      </c>
      <c r="C27" s="158"/>
      <c r="D27" s="158"/>
      <c r="E27" s="158"/>
      <c r="F27" s="57" t="s">
        <v>49</v>
      </c>
      <c r="G27" s="58">
        <v>1</v>
      </c>
      <c r="H27" s="67">
        <v>832</v>
      </c>
      <c r="I27" s="60">
        <f t="shared" si="2"/>
        <v>832</v>
      </c>
      <c r="J27" s="77"/>
    </row>
    <row r="28" spans="1:10" s="29" customFormat="1" ht="124.5" customHeight="1" x14ac:dyDescent="0.25">
      <c r="A28" s="55" t="s">
        <v>44</v>
      </c>
      <c r="B28" s="158" t="s">
        <v>329</v>
      </c>
      <c r="C28" s="158"/>
      <c r="D28" s="158"/>
      <c r="E28" s="158"/>
      <c r="F28" s="57" t="s">
        <v>46</v>
      </c>
      <c r="G28" s="58">
        <v>2.85</v>
      </c>
      <c r="H28" s="67">
        <v>835.2</v>
      </c>
      <c r="I28" s="60">
        <f>G28*H28</f>
        <v>2380.3200000000002</v>
      </c>
      <c r="J28" s="77"/>
    </row>
    <row r="29" spans="1:10" s="29" customFormat="1" ht="123" customHeight="1" x14ac:dyDescent="0.25">
      <c r="A29" s="55" t="s">
        <v>45</v>
      </c>
      <c r="B29" s="158" t="s">
        <v>330</v>
      </c>
      <c r="C29" s="158"/>
      <c r="D29" s="158"/>
      <c r="E29" s="158"/>
      <c r="F29" s="57" t="s">
        <v>46</v>
      </c>
      <c r="G29" s="58">
        <v>5.71</v>
      </c>
      <c r="H29" s="67">
        <v>86.3</v>
      </c>
      <c r="I29" s="60">
        <f t="shared" si="2"/>
        <v>492.77299999999997</v>
      </c>
      <c r="J29" s="77"/>
    </row>
    <row r="30" spans="1:10" s="29" customFormat="1" ht="124.5" customHeight="1" x14ac:dyDescent="0.25">
      <c r="A30" s="55" t="s">
        <v>50</v>
      </c>
      <c r="B30" s="158" t="s">
        <v>331</v>
      </c>
      <c r="C30" s="158"/>
      <c r="D30" s="158"/>
      <c r="E30" s="158"/>
      <c r="F30" s="57" t="s">
        <v>48</v>
      </c>
      <c r="G30" s="58">
        <v>1.85</v>
      </c>
      <c r="H30" s="67">
        <v>643</v>
      </c>
      <c r="I30" s="60">
        <f t="shared" si="2"/>
        <v>1189.55</v>
      </c>
      <c r="J30" s="77"/>
    </row>
    <row r="31" spans="1:10" s="29" customFormat="1" ht="135.75" customHeight="1" x14ac:dyDescent="0.25">
      <c r="A31" s="55" t="s">
        <v>51</v>
      </c>
      <c r="B31" s="158" t="s">
        <v>332</v>
      </c>
      <c r="C31" s="158"/>
      <c r="D31" s="158"/>
      <c r="E31" s="158"/>
      <c r="F31" s="57" t="s">
        <v>48</v>
      </c>
      <c r="G31" s="58">
        <v>1.7</v>
      </c>
      <c r="H31" s="67">
        <v>528</v>
      </c>
      <c r="I31" s="60">
        <f t="shared" ref="I31" si="3">G31*H31</f>
        <v>897.6</v>
      </c>
      <c r="J31" s="77"/>
    </row>
    <row r="32" spans="1:10" s="29" customFormat="1" ht="114" customHeight="1" x14ac:dyDescent="0.25">
      <c r="A32" s="55" t="s">
        <v>52</v>
      </c>
      <c r="B32" s="158" t="s">
        <v>458</v>
      </c>
      <c r="C32" s="158"/>
      <c r="D32" s="158"/>
      <c r="E32" s="158"/>
      <c r="F32" s="57" t="s">
        <v>48</v>
      </c>
      <c r="G32" s="58">
        <v>3.82</v>
      </c>
      <c r="H32" s="59">
        <v>345.5</v>
      </c>
      <c r="I32" s="60">
        <f>H32*G32</f>
        <v>1319.81</v>
      </c>
      <c r="J32" s="29">
        <v>300</v>
      </c>
    </row>
    <row r="33" spans="1:10" s="29" customFormat="1" ht="124.5" customHeight="1" x14ac:dyDescent="0.25">
      <c r="A33" s="55" t="s">
        <v>53</v>
      </c>
      <c r="B33" s="154" t="s">
        <v>333</v>
      </c>
      <c r="C33" s="155"/>
      <c r="D33" s="155"/>
      <c r="E33" s="156"/>
      <c r="F33" s="57" t="s">
        <v>49</v>
      </c>
      <c r="G33" s="58">
        <v>3</v>
      </c>
      <c r="H33" s="67">
        <v>255.15</v>
      </c>
      <c r="I33" s="60">
        <f>G33*H33</f>
        <v>765.45</v>
      </c>
      <c r="J33" s="77"/>
    </row>
    <row r="34" spans="1:10" s="29" customFormat="1" ht="107.25" customHeight="1" x14ac:dyDescent="0.25">
      <c r="A34" s="55" t="s">
        <v>54</v>
      </c>
      <c r="B34" s="163" t="s">
        <v>334</v>
      </c>
      <c r="C34" s="164"/>
      <c r="D34" s="164"/>
      <c r="E34" s="164"/>
      <c r="F34" s="57" t="s">
        <v>49</v>
      </c>
      <c r="G34" s="58">
        <v>1</v>
      </c>
      <c r="H34" s="67">
        <v>635.20000000000005</v>
      </c>
      <c r="I34" s="60">
        <f>G34*H34</f>
        <v>635.20000000000005</v>
      </c>
      <c r="J34" s="77"/>
    </row>
    <row r="35" spans="1:10" s="29" customFormat="1" ht="124.5" customHeight="1" x14ac:dyDescent="0.25">
      <c r="A35" s="55" t="s">
        <v>55</v>
      </c>
      <c r="B35" s="163" t="s">
        <v>335</v>
      </c>
      <c r="C35" s="164"/>
      <c r="D35" s="164"/>
      <c r="E35" s="164"/>
      <c r="F35" s="57" t="s">
        <v>49</v>
      </c>
      <c r="G35" s="58">
        <v>1</v>
      </c>
      <c r="H35" s="67">
        <v>987.16</v>
      </c>
      <c r="I35" s="60">
        <f t="shared" ref="I35:I36" si="4">G35*H35</f>
        <v>987.16</v>
      </c>
      <c r="J35" s="77"/>
    </row>
    <row r="36" spans="1:10" s="29" customFormat="1" ht="121.5" customHeight="1" x14ac:dyDescent="0.25">
      <c r="A36" s="55" t="s">
        <v>56</v>
      </c>
      <c r="B36" s="163" t="s">
        <v>336</v>
      </c>
      <c r="C36" s="164"/>
      <c r="D36" s="164"/>
      <c r="E36" s="164"/>
      <c r="F36" s="57" t="s">
        <v>49</v>
      </c>
      <c r="G36" s="58">
        <v>1</v>
      </c>
      <c r="H36" s="67">
        <v>1425.3</v>
      </c>
      <c r="I36" s="60">
        <f t="shared" si="4"/>
        <v>1425.3</v>
      </c>
      <c r="J36" s="77"/>
    </row>
    <row r="37" spans="1:10" s="29" customFormat="1" ht="121.5" customHeight="1" x14ac:dyDescent="0.25">
      <c r="A37" s="55" t="s">
        <v>57</v>
      </c>
      <c r="B37" s="157" t="s">
        <v>337</v>
      </c>
      <c r="C37" s="158"/>
      <c r="D37" s="158"/>
      <c r="E37" s="158"/>
      <c r="F37" s="57" t="s">
        <v>46</v>
      </c>
      <c r="G37" s="58">
        <v>120.32</v>
      </c>
      <c r="H37" s="59">
        <v>36.15</v>
      </c>
      <c r="I37" s="60">
        <f>H37*G37</f>
        <v>4349.5679999999993</v>
      </c>
      <c r="J37" s="29">
        <v>300</v>
      </c>
    </row>
    <row r="38" spans="1:10" s="29" customFormat="1" ht="112.5" customHeight="1" x14ac:dyDescent="0.25">
      <c r="A38" s="55" t="s">
        <v>58</v>
      </c>
      <c r="B38" s="171" t="s">
        <v>338</v>
      </c>
      <c r="C38" s="162"/>
      <c r="D38" s="162"/>
      <c r="E38" s="162"/>
      <c r="F38" s="32" t="s">
        <v>46</v>
      </c>
      <c r="G38" s="58">
        <f>G37</f>
        <v>120.32</v>
      </c>
      <c r="H38" s="34">
        <v>412</v>
      </c>
      <c r="I38" s="35">
        <f>H38*G38</f>
        <v>49571.839999999997</v>
      </c>
      <c r="J38" s="29">
        <v>300</v>
      </c>
    </row>
    <row r="39" spans="1:10" s="83" customFormat="1" ht="103.5" customHeight="1" x14ac:dyDescent="0.25">
      <c r="A39" s="55" t="s">
        <v>59</v>
      </c>
      <c r="B39" s="148" t="s">
        <v>223</v>
      </c>
      <c r="C39" s="148"/>
      <c r="D39" s="148"/>
      <c r="E39" s="148"/>
      <c r="F39" s="84" t="s">
        <v>49</v>
      </c>
      <c r="G39" s="85">
        <v>5</v>
      </c>
      <c r="H39" s="86">
        <v>245</v>
      </c>
      <c r="I39" s="87">
        <f t="shared" ref="I39" si="5">H39*G39</f>
        <v>1225</v>
      </c>
    </row>
    <row r="40" spans="1:10" s="29" customFormat="1" x14ac:dyDescent="0.25">
      <c r="A40" s="76"/>
      <c r="B40" s="69"/>
      <c r="C40" s="70"/>
      <c r="D40" s="70"/>
      <c r="E40" s="71"/>
      <c r="F40" s="32"/>
      <c r="G40" s="33"/>
      <c r="H40" s="34"/>
      <c r="I40" s="35"/>
    </row>
    <row r="41" spans="1:10" s="29" customFormat="1" ht="12" thickBot="1" x14ac:dyDescent="0.3">
      <c r="A41" s="30"/>
      <c r="B41" s="183"/>
      <c r="C41" s="184"/>
      <c r="D41" s="184"/>
      <c r="E41" s="185"/>
      <c r="F41" s="32"/>
      <c r="G41" s="33"/>
      <c r="H41" s="34" t="s">
        <v>26</v>
      </c>
      <c r="I41" s="35">
        <f>SUM(I17:I40)</f>
        <v>81726.641000000003</v>
      </c>
      <c r="J41" s="77"/>
    </row>
    <row r="42" spans="1:10" x14ac:dyDescent="0.2">
      <c r="A42" s="39"/>
      <c r="B42" s="40"/>
      <c r="C42" s="40"/>
      <c r="D42" s="40"/>
      <c r="E42" s="41"/>
      <c r="F42" s="48"/>
      <c r="G42" s="49"/>
      <c r="H42" s="50"/>
      <c r="I42" s="36"/>
    </row>
    <row r="43" spans="1:10" x14ac:dyDescent="0.2">
      <c r="A43" s="42" t="s">
        <v>27</v>
      </c>
      <c r="B43" s="43"/>
      <c r="C43" s="43"/>
      <c r="D43" s="43"/>
      <c r="E43" s="44"/>
      <c r="F43" s="51"/>
      <c r="G43" s="52"/>
      <c r="H43" s="53"/>
      <c r="I43" s="37">
        <f>I41</f>
        <v>81726.641000000003</v>
      </c>
    </row>
    <row r="44" spans="1:10" ht="12" thickBot="1" x14ac:dyDescent="0.25">
      <c r="A44" s="45"/>
      <c r="B44" s="46"/>
      <c r="C44" s="46"/>
      <c r="D44" s="46"/>
      <c r="E44" s="47"/>
      <c r="F44" s="54"/>
      <c r="G44" s="46"/>
      <c r="H44" s="47"/>
      <c r="I44" s="38"/>
      <c r="J44" s="3"/>
    </row>
    <row r="45" spans="1:10" x14ac:dyDescent="0.2">
      <c r="J45" s="3"/>
    </row>
    <row r="46" spans="1:10" x14ac:dyDescent="0.2">
      <c r="J46" s="3"/>
    </row>
    <row r="47" spans="1:10" x14ac:dyDescent="0.2">
      <c r="J47" s="3"/>
    </row>
    <row r="48" spans="1:10" x14ac:dyDescent="0.2">
      <c r="J48" s="3"/>
    </row>
    <row r="49" spans="10:10" x14ac:dyDescent="0.2">
      <c r="J49" s="3"/>
    </row>
    <row r="50" spans="10:10" x14ac:dyDescent="0.2">
      <c r="J50" s="3"/>
    </row>
    <row r="51" spans="10:10" x14ac:dyDescent="0.2">
      <c r="J51" s="3"/>
    </row>
    <row r="52" spans="10:10" x14ac:dyDescent="0.2">
      <c r="J52" s="3"/>
    </row>
    <row r="53" spans="10:10" x14ac:dyDescent="0.2">
      <c r="J53" s="3"/>
    </row>
    <row r="54" spans="10:10" x14ac:dyDescent="0.2">
      <c r="J54" s="3"/>
    </row>
    <row r="55" spans="10:10" x14ac:dyDescent="0.2">
      <c r="J55" s="3"/>
    </row>
  </sheetData>
  <mergeCells count="24">
    <mergeCell ref="B37:E37"/>
    <mergeCell ref="B38:E38"/>
    <mergeCell ref="B41:E41"/>
    <mergeCell ref="B30:E30"/>
    <mergeCell ref="B31:E31"/>
    <mergeCell ref="B33:E33"/>
    <mergeCell ref="B34:E34"/>
    <mergeCell ref="B35:E35"/>
    <mergeCell ref="B36:E36"/>
    <mergeCell ref="B32:E32"/>
    <mergeCell ref="B39:E39"/>
    <mergeCell ref="B29:E29"/>
    <mergeCell ref="B17:E17"/>
    <mergeCell ref="B18:E18"/>
    <mergeCell ref="B19:E19"/>
    <mergeCell ref="B20:E20"/>
    <mergeCell ref="B21:E21"/>
    <mergeCell ref="B22:E22"/>
    <mergeCell ref="B24:E24"/>
    <mergeCell ref="B25:E25"/>
    <mergeCell ref="B26:E26"/>
    <mergeCell ref="B27:E27"/>
    <mergeCell ref="B28:E28"/>
    <mergeCell ref="B23:E23"/>
  </mergeCells>
  <pageMargins left="0.70866141732283472" right="0.70866141732283472" top="1.1417322834645669" bottom="0.74803149606299213" header="0.31496062992125984" footer="0.31496062992125984"/>
  <pageSetup scale="93" orientation="portrait" r:id="rId1"/>
  <headerFooter>
    <oddHeader>&amp;C&amp;G</oddHeader>
    <oddFooter>&amp;C&amp;G</oddFooter>
  </headerFooter>
  <colBreaks count="1" manualBreakCount="1">
    <brk id="9"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view="pageBreakPreview" topLeftCell="A14" zoomScaleNormal="100" zoomScaleSheetLayoutView="100" workbookViewId="0">
      <selection activeCell="H18" sqref="H18"/>
    </sheetView>
  </sheetViews>
  <sheetFormatPr baseColWidth="10" defaultColWidth="11.7109375" defaultRowHeight="11.25" x14ac:dyDescent="0.2"/>
  <cols>
    <col min="1" max="2" width="5.7109375" style="3" customWidth="1"/>
    <col min="3" max="3" width="11" style="3" customWidth="1"/>
    <col min="4" max="4" width="10.7109375" style="3" customWidth="1"/>
    <col min="5" max="6" width="9.7109375" style="3" customWidth="1"/>
    <col min="7" max="7" width="10.7109375" style="3" customWidth="1"/>
    <col min="8" max="10" width="12.7109375" style="3" customWidth="1"/>
    <col min="11" max="16384" width="11.7109375" style="3"/>
  </cols>
  <sheetData>
    <row r="1" spans="1:11" ht="23.25" x14ac:dyDescent="0.35">
      <c r="A1" s="1"/>
      <c r="B1" s="1"/>
      <c r="C1" s="2"/>
      <c r="D1" s="2"/>
      <c r="E1" s="2"/>
      <c r="F1" s="2"/>
      <c r="G1" s="2"/>
      <c r="H1" s="2"/>
      <c r="I1" s="2"/>
      <c r="J1" s="2"/>
    </row>
    <row r="2" spans="1:11" ht="23.25" x14ac:dyDescent="0.35">
      <c r="A2" s="1"/>
      <c r="B2" s="1"/>
      <c r="C2" s="4"/>
      <c r="D2" s="4"/>
      <c r="E2" s="4"/>
      <c r="F2" s="4"/>
      <c r="G2" s="4"/>
      <c r="H2" s="4"/>
      <c r="I2" s="4"/>
      <c r="J2" s="4"/>
    </row>
    <row r="3" spans="1:11" ht="15" x14ac:dyDescent="0.2">
      <c r="A3" s="5"/>
      <c r="B3" s="5"/>
      <c r="C3" s="6"/>
      <c r="D3" s="6"/>
      <c r="E3" s="6"/>
      <c r="F3" s="6"/>
      <c r="G3" s="6"/>
      <c r="H3" s="6"/>
      <c r="I3" s="6"/>
      <c r="J3" s="6"/>
    </row>
    <row r="4" spans="1:11" ht="3.75" customHeight="1" x14ac:dyDescent="0.2">
      <c r="A4" s="5"/>
      <c r="B4" s="5"/>
      <c r="C4" s="6"/>
      <c r="D4" s="6"/>
      <c r="E4" s="6"/>
      <c r="F4" s="6"/>
      <c r="G4" s="6"/>
      <c r="H4" s="6"/>
      <c r="I4" s="6"/>
      <c r="J4" s="6"/>
    </row>
    <row r="5" spans="1:11" x14ac:dyDescent="0.2">
      <c r="A5" s="7" t="s">
        <v>0</v>
      </c>
      <c r="B5" s="7"/>
      <c r="C5" s="8" t="s">
        <v>34</v>
      </c>
      <c r="D5" s="9"/>
      <c r="E5" s="9"/>
      <c r="F5" s="9"/>
      <c r="G5" s="10" t="s">
        <v>1</v>
      </c>
      <c r="H5" s="8" t="s">
        <v>2</v>
      </c>
      <c r="I5" s="9"/>
      <c r="J5" s="9"/>
    </row>
    <row r="6" spans="1:11" x14ac:dyDescent="0.2">
      <c r="A6" s="7" t="s">
        <v>3</v>
      </c>
      <c r="B6" s="7"/>
      <c r="C6" s="8" t="s">
        <v>4</v>
      </c>
      <c r="D6" s="9"/>
      <c r="E6" s="9"/>
      <c r="F6" s="9"/>
      <c r="G6" s="10" t="s">
        <v>5</v>
      </c>
      <c r="H6" s="8" t="s">
        <v>6</v>
      </c>
      <c r="I6" s="9"/>
      <c r="J6" s="9"/>
    </row>
    <row r="7" spans="1:11" x14ac:dyDescent="0.2">
      <c r="A7" s="7" t="s">
        <v>7</v>
      </c>
      <c r="B7" s="7"/>
      <c r="C7" s="8" t="s">
        <v>36</v>
      </c>
      <c r="D7" s="9"/>
      <c r="E7" s="9"/>
      <c r="F7" s="9"/>
      <c r="G7" s="10" t="s">
        <v>8</v>
      </c>
      <c r="H7" s="8" t="s">
        <v>36</v>
      </c>
      <c r="I7" s="9"/>
      <c r="J7" s="9"/>
    </row>
    <row r="8" spans="1:11" x14ac:dyDescent="0.2">
      <c r="A8" s="11" t="s">
        <v>29</v>
      </c>
      <c r="B8" s="11"/>
      <c r="C8" s="12"/>
      <c r="D8" s="12"/>
      <c r="E8" s="12"/>
      <c r="F8" s="12"/>
      <c r="G8" s="12"/>
      <c r="H8" s="12"/>
      <c r="I8" s="12"/>
      <c r="J8" s="12"/>
    </row>
    <row r="9" spans="1:11" ht="15" customHeight="1" x14ac:dyDescent="0.2">
      <c r="A9" s="13" t="s">
        <v>9</v>
      </c>
      <c r="B9" s="13"/>
      <c r="C9" s="14"/>
      <c r="D9" s="14"/>
      <c r="E9" s="14"/>
      <c r="F9" s="14"/>
      <c r="G9" s="14"/>
      <c r="H9" s="14"/>
      <c r="I9" s="14"/>
      <c r="J9" s="14"/>
    </row>
    <row r="10" spans="1:11" ht="12" customHeight="1" x14ac:dyDescent="0.2">
      <c r="A10" s="15" t="s">
        <v>10</v>
      </c>
      <c r="B10" s="15"/>
      <c r="C10" s="16" t="s">
        <v>450</v>
      </c>
    </row>
    <row r="11" spans="1:11" ht="10.15" customHeight="1" x14ac:dyDescent="0.2">
      <c r="A11" s="15" t="s">
        <v>11</v>
      </c>
      <c r="B11" s="15"/>
      <c r="C11" s="3" t="s">
        <v>12</v>
      </c>
      <c r="G11" s="15"/>
      <c r="I11" s="15" t="s">
        <v>13</v>
      </c>
    </row>
    <row r="12" spans="1:11" ht="10.15" customHeight="1" x14ac:dyDescent="0.2">
      <c r="A12" s="15" t="s">
        <v>14</v>
      </c>
      <c r="B12" s="15"/>
      <c r="C12" s="16" t="s">
        <v>35</v>
      </c>
      <c r="G12" s="15"/>
      <c r="I12" s="15" t="s">
        <v>15</v>
      </c>
    </row>
    <row r="13" spans="1:11" ht="10.15" customHeight="1" x14ac:dyDescent="0.2">
      <c r="A13" s="15" t="s">
        <v>16</v>
      </c>
      <c r="B13" s="15"/>
      <c r="C13" s="17">
        <f>J86</f>
        <v>152386.73759999999</v>
      </c>
      <c r="E13" s="15" t="s">
        <v>17</v>
      </c>
      <c r="F13" s="3" t="s">
        <v>18</v>
      </c>
      <c r="G13" s="15"/>
      <c r="I13" s="15"/>
      <c r="J13" s="18"/>
    </row>
    <row r="14" spans="1:11" x14ac:dyDescent="0.2">
      <c r="A14" s="19" t="s">
        <v>19</v>
      </c>
      <c r="B14" s="20"/>
      <c r="C14" s="21" t="s">
        <v>20</v>
      </c>
      <c r="D14" s="21"/>
      <c r="E14" s="21"/>
      <c r="F14" s="20"/>
      <c r="G14" s="22" t="s">
        <v>21</v>
      </c>
      <c r="H14" s="23" t="s">
        <v>22</v>
      </c>
      <c r="I14" s="23" t="s">
        <v>23</v>
      </c>
      <c r="J14" s="23" t="s">
        <v>24</v>
      </c>
    </row>
    <row r="15" spans="1:11" x14ac:dyDescent="0.2">
      <c r="A15" s="24" t="s">
        <v>25</v>
      </c>
      <c r="B15" s="25"/>
      <c r="C15" s="26"/>
      <c r="D15" s="26"/>
      <c r="E15" s="26"/>
      <c r="F15" s="26"/>
      <c r="G15" s="26"/>
      <c r="H15" s="27"/>
      <c r="I15" s="27"/>
      <c r="J15" s="28"/>
      <c r="K15" s="3" t="s">
        <v>77</v>
      </c>
    </row>
    <row r="16" spans="1:11" s="29" customFormat="1" ht="114" customHeight="1" x14ac:dyDescent="0.25">
      <c r="A16" s="30" t="s">
        <v>28</v>
      </c>
      <c r="B16" s="31"/>
      <c r="C16" s="171" t="s">
        <v>78</v>
      </c>
      <c r="D16" s="162"/>
      <c r="E16" s="162"/>
      <c r="F16" s="162"/>
      <c r="G16" s="32" t="s">
        <v>46</v>
      </c>
      <c r="H16" s="34">
        <v>557.74</v>
      </c>
      <c r="I16" s="34">
        <v>24.32</v>
      </c>
      <c r="J16" s="35">
        <f>I16*H16</f>
        <v>13564.236800000001</v>
      </c>
      <c r="K16" s="29">
        <v>300</v>
      </c>
    </row>
    <row r="17" spans="1:11" s="29" customFormat="1" ht="129" customHeight="1" x14ac:dyDescent="0.25">
      <c r="A17" s="30" t="s">
        <v>30</v>
      </c>
      <c r="B17" s="31"/>
      <c r="C17" s="158" t="s">
        <v>101</v>
      </c>
      <c r="D17" s="158"/>
      <c r="E17" s="158"/>
      <c r="F17" s="158"/>
      <c r="G17" s="32" t="s">
        <v>46</v>
      </c>
      <c r="H17" s="34">
        <v>752.78</v>
      </c>
      <c r="I17" s="34">
        <v>32.26</v>
      </c>
      <c r="J17" s="35">
        <f t="shared" ref="J17:J19" si="0">I17*H17</f>
        <v>24284.682799999999</v>
      </c>
    </row>
    <row r="18" spans="1:11" s="29" customFormat="1" ht="114" customHeight="1" x14ac:dyDescent="0.25">
      <c r="A18" s="30" t="s">
        <v>31</v>
      </c>
      <c r="B18" s="31"/>
      <c r="C18" s="158" t="s">
        <v>102</v>
      </c>
      <c r="D18" s="158"/>
      <c r="E18" s="158"/>
      <c r="F18" s="158"/>
      <c r="G18" s="32" t="s">
        <v>49</v>
      </c>
      <c r="H18" s="33">
        <v>0</v>
      </c>
      <c r="I18" s="34">
        <v>86.3</v>
      </c>
      <c r="J18" s="35">
        <f t="shared" si="0"/>
        <v>0</v>
      </c>
    </row>
    <row r="19" spans="1:11" s="29" customFormat="1" ht="114" customHeight="1" x14ac:dyDescent="0.25">
      <c r="A19" s="30" t="s">
        <v>32</v>
      </c>
      <c r="B19" s="31"/>
      <c r="C19" s="158" t="s">
        <v>103</v>
      </c>
      <c r="D19" s="158"/>
      <c r="E19" s="158"/>
      <c r="F19" s="158"/>
      <c r="G19" s="32" t="s">
        <v>49</v>
      </c>
      <c r="H19" s="33">
        <v>0</v>
      </c>
      <c r="I19" s="34">
        <v>98.15</v>
      </c>
      <c r="J19" s="35">
        <f t="shared" si="0"/>
        <v>0</v>
      </c>
    </row>
    <row r="20" spans="1:11" s="29" customFormat="1" ht="103.5" customHeight="1" x14ac:dyDescent="0.25">
      <c r="A20" s="55" t="s">
        <v>33</v>
      </c>
      <c r="B20" s="68"/>
      <c r="C20" s="158" t="s">
        <v>104</v>
      </c>
      <c r="D20" s="158"/>
      <c r="E20" s="158"/>
      <c r="F20" s="158"/>
      <c r="G20" s="57" t="s">
        <v>46</v>
      </c>
      <c r="H20" s="58">
        <f>H17</f>
        <v>752.78</v>
      </c>
      <c r="I20" s="67">
        <v>87.15</v>
      </c>
      <c r="J20" s="60">
        <f t="shared" ref="J20:J36" si="1">H20*I20</f>
        <v>65604.777000000002</v>
      </c>
    </row>
    <row r="21" spans="1:11" s="64" customFormat="1" x14ac:dyDescent="0.25">
      <c r="A21" s="61"/>
      <c r="B21" s="61"/>
      <c r="C21" s="62"/>
      <c r="D21" s="63"/>
      <c r="E21" s="63"/>
      <c r="F21" s="63"/>
      <c r="H21" s="65"/>
      <c r="I21" s="66"/>
      <c r="J21" s="66"/>
    </row>
    <row r="22" spans="1:11" s="64" customFormat="1" x14ac:dyDescent="0.25">
      <c r="A22" s="61"/>
      <c r="B22" s="61"/>
      <c r="C22" s="62"/>
      <c r="D22" s="63"/>
      <c r="E22" s="63"/>
      <c r="F22" s="63"/>
      <c r="H22" s="65"/>
      <c r="I22" s="66"/>
      <c r="J22" s="66"/>
    </row>
    <row r="23" spans="1:11" s="64" customFormat="1" x14ac:dyDescent="0.25">
      <c r="A23" s="61"/>
      <c r="B23" s="61"/>
      <c r="C23" s="62"/>
      <c r="D23" s="63"/>
      <c r="E23" s="63"/>
      <c r="F23" s="63"/>
      <c r="H23" s="65"/>
      <c r="I23" s="66"/>
      <c r="J23" s="66"/>
    </row>
    <row r="24" spans="1:11" s="64" customFormat="1" x14ac:dyDescent="0.25">
      <c r="A24" s="61"/>
      <c r="B24" s="61"/>
      <c r="C24" s="62"/>
      <c r="D24" s="63"/>
      <c r="E24" s="63"/>
      <c r="F24" s="63"/>
      <c r="H24" s="65"/>
      <c r="I24" s="66"/>
      <c r="J24" s="66"/>
    </row>
    <row r="25" spans="1:11" s="64" customFormat="1" x14ac:dyDescent="0.25">
      <c r="A25" s="61"/>
      <c r="B25" s="61"/>
      <c r="C25" s="62"/>
      <c r="D25" s="63"/>
      <c r="E25" s="63"/>
      <c r="F25" s="63"/>
      <c r="H25" s="65"/>
      <c r="I25" s="66"/>
      <c r="J25" s="66"/>
    </row>
    <row r="26" spans="1:11" s="64" customFormat="1" x14ac:dyDescent="0.25">
      <c r="A26" s="61"/>
      <c r="B26" s="61"/>
      <c r="C26" s="62"/>
      <c r="D26" s="63"/>
      <c r="E26" s="63"/>
      <c r="F26" s="63"/>
      <c r="H26" s="65"/>
      <c r="I26" s="66"/>
      <c r="J26" s="66"/>
    </row>
    <row r="27" spans="1:11" s="64" customFormat="1" x14ac:dyDescent="0.25">
      <c r="A27" s="61"/>
      <c r="B27" s="61"/>
      <c r="C27" s="62"/>
      <c r="D27" s="63"/>
      <c r="E27" s="63"/>
      <c r="F27" s="63"/>
      <c r="H27" s="65"/>
      <c r="I27" s="66"/>
      <c r="J27" s="66"/>
    </row>
    <row r="28" spans="1:11" s="64" customFormat="1" x14ac:dyDescent="0.25">
      <c r="A28" s="61"/>
      <c r="B28" s="61"/>
      <c r="C28" s="62"/>
      <c r="D28" s="63"/>
      <c r="E28" s="63"/>
      <c r="F28" s="63"/>
      <c r="H28" s="65"/>
      <c r="I28" s="66"/>
      <c r="J28" s="66"/>
    </row>
    <row r="29" spans="1:11" s="64" customFormat="1" x14ac:dyDescent="0.25">
      <c r="A29" s="61"/>
      <c r="B29" s="61"/>
      <c r="C29" s="62"/>
      <c r="D29" s="63"/>
      <c r="E29" s="63"/>
      <c r="F29" s="63"/>
      <c r="H29" s="65"/>
      <c r="I29" s="66"/>
      <c r="J29" s="66"/>
    </row>
    <row r="31" spans="1:11" x14ac:dyDescent="0.2">
      <c r="A31" s="19" t="s">
        <v>19</v>
      </c>
      <c r="B31" s="20"/>
      <c r="C31" s="21" t="s">
        <v>20</v>
      </c>
      <c r="D31" s="21"/>
      <c r="E31" s="21"/>
      <c r="F31" s="20"/>
      <c r="G31" s="22" t="s">
        <v>21</v>
      </c>
      <c r="H31" s="23" t="s">
        <v>22</v>
      </c>
      <c r="I31" s="23" t="s">
        <v>23</v>
      </c>
      <c r="J31" s="23" t="s">
        <v>24</v>
      </c>
    </row>
    <row r="32" spans="1:11" x14ac:dyDescent="0.2">
      <c r="A32" s="24" t="s">
        <v>25</v>
      </c>
      <c r="B32" s="25"/>
      <c r="C32" s="26"/>
      <c r="D32" s="26"/>
      <c r="E32" s="26"/>
      <c r="F32" s="26"/>
      <c r="G32" s="26"/>
      <c r="H32" s="27"/>
      <c r="I32" s="27"/>
      <c r="J32" s="28"/>
      <c r="K32" s="3" t="s">
        <v>77</v>
      </c>
    </row>
    <row r="33" spans="1:11" s="29" customFormat="1" ht="114.75" customHeight="1" x14ac:dyDescent="0.25">
      <c r="A33" s="30" t="s">
        <v>37</v>
      </c>
      <c r="B33" s="68"/>
      <c r="C33" s="158" t="s">
        <v>105</v>
      </c>
      <c r="D33" s="158"/>
      <c r="E33" s="158"/>
      <c r="F33" s="158"/>
      <c r="G33" s="57" t="s">
        <v>46</v>
      </c>
      <c r="H33" s="33">
        <f>H16</f>
        <v>557.74</v>
      </c>
      <c r="I33" s="67">
        <v>87.15</v>
      </c>
      <c r="J33" s="60">
        <f t="shared" ref="J33:J34" si="2">H33*I33</f>
        <v>48607.041000000005</v>
      </c>
    </row>
    <row r="34" spans="1:11" s="29" customFormat="1" ht="114.75" customHeight="1" x14ac:dyDescent="0.25">
      <c r="A34" s="30" t="s">
        <v>38</v>
      </c>
      <c r="B34" s="68"/>
      <c r="C34" s="158" t="s">
        <v>453</v>
      </c>
      <c r="D34" s="158"/>
      <c r="E34" s="158"/>
      <c r="F34" s="158"/>
      <c r="G34" s="57" t="s">
        <v>46</v>
      </c>
      <c r="H34" s="33">
        <v>0</v>
      </c>
      <c r="I34" s="67">
        <v>87.15</v>
      </c>
      <c r="J34" s="60">
        <f t="shared" si="2"/>
        <v>0</v>
      </c>
    </row>
    <row r="35" spans="1:11" s="29" customFormat="1" ht="103.5" customHeight="1" x14ac:dyDescent="0.25">
      <c r="A35" s="30" t="s">
        <v>39</v>
      </c>
      <c r="B35" s="68"/>
      <c r="C35" s="158" t="s">
        <v>454</v>
      </c>
      <c r="D35" s="158"/>
      <c r="E35" s="158"/>
      <c r="F35" s="158"/>
      <c r="G35" s="57" t="s">
        <v>46</v>
      </c>
      <c r="H35" s="33">
        <v>0</v>
      </c>
      <c r="I35" s="67">
        <v>87.15</v>
      </c>
      <c r="J35" s="60">
        <f t="shared" si="1"/>
        <v>0</v>
      </c>
    </row>
    <row r="36" spans="1:11" s="29" customFormat="1" ht="117" customHeight="1" x14ac:dyDescent="0.25">
      <c r="A36" s="30" t="s">
        <v>40</v>
      </c>
      <c r="B36" s="68"/>
      <c r="C36" s="158" t="s">
        <v>138</v>
      </c>
      <c r="D36" s="158"/>
      <c r="E36" s="158"/>
      <c r="F36" s="158"/>
      <c r="G36" s="57" t="s">
        <v>49</v>
      </c>
      <c r="H36" s="58">
        <v>0</v>
      </c>
      <c r="I36" s="67">
        <v>535</v>
      </c>
      <c r="J36" s="60">
        <f t="shared" si="1"/>
        <v>0</v>
      </c>
    </row>
    <row r="37" spans="1:11" s="29" customFormat="1" ht="125.25" customHeight="1" x14ac:dyDescent="0.25">
      <c r="A37" s="30" t="s">
        <v>41</v>
      </c>
      <c r="B37" s="31"/>
      <c r="C37" s="171" t="s">
        <v>107</v>
      </c>
      <c r="D37" s="162"/>
      <c r="E37" s="162"/>
      <c r="F37" s="162"/>
      <c r="G37" s="32" t="s">
        <v>48</v>
      </c>
      <c r="H37" s="33">
        <v>0</v>
      </c>
      <c r="I37" s="34">
        <v>96.3</v>
      </c>
      <c r="J37" s="35">
        <f t="shared" ref="J37" si="3">I37*H37</f>
        <v>0</v>
      </c>
      <c r="K37" s="29">
        <v>300</v>
      </c>
    </row>
    <row r="38" spans="1:11" s="29" customFormat="1" ht="147.75" customHeight="1" x14ac:dyDescent="0.25">
      <c r="A38" s="30" t="s">
        <v>42</v>
      </c>
      <c r="B38" s="68"/>
      <c r="C38" s="158" t="s">
        <v>452</v>
      </c>
      <c r="D38" s="158"/>
      <c r="E38" s="158"/>
      <c r="F38" s="158"/>
      <c r="G38" s="57" t="s">
        <v>49</v>
      </c>
      <c r="H38" s="58">
        <v>1</v>
      </c>
      <c r="I38" s="67">
        <v>326</v>
      </c>
      <c r="J38" s="60">
        <f t="shared" ref="J38" si="4">H38*I38</f>
        <v>326</v>
      </c>
    </row>
    <row r="39" spans="1:11" s="64" customFormat="1" x14ac:dyDescent="0.25">
      <c r="A39" s="61"/>
      <c r="B39" s="61"/>
      <c r="C39" s="62"/>
      <c r="D39" s="63"/>
      <c r="E39" s="63"/>
      <c r="F39" s="63"/>
      <c r="H39" s="65"/>
      <c r="I39" s="66"/>
      <c r="J39" s="66"/>
    </row>
    <row r="40" spans="1:11" s="64" customFormat="1" x14ac:dyDescent="0.25">
      <c r="A40" s="61"/>
      <c r="B40" s="61"/>
      <c r="C40" s="62"/>
      <c r="D40" s="63"/>
      <c r="E40" s="63"/>
      <c r="F40" s="63"/>
      <c r="H40" s="65"/>
      <c r="I40" s="66"/>
      <c r="J40" s="66"/>
    </row>
    <row r="41" spans="1:11" s="64" customFormat="1" x14ac:dyDescent="0.25">
      <c r="A41" s="61"/>
      <c r="B41" s="61"/>
      <c r="C41" s="62"/>
      <c r="D41" s="63"/>
      <c r="E41" s="63"/>
      <c r="F41" s="63"/>
      <c r="H41" s="65"/>
      <c r="I41" s="66"/>
      <c r="J41" s="66"/>
    </row>
    <row r="42" spans="1:11" s="64" customFormat="1" x14ac:dyDescent="0.25">
      <c r="A42" s="61"/>
      <c r="B42" s="61"/>
      <c r="C42" s="62"/>
      <c r="D42" s="63"/>
      <c r="E42" s="63"/>
      <c r="F42" s="63"/>
      <c r="H42" s="65"/>
      <c r="I42" s="66"/>
      <c r="J42" s="66"/>
    </row>
    <row r="44" spans="1:11" x14ac:dyDescent="0.2">
      <c r="A44" s="19" t="s">
        <v>19</v>
      </c>
      <c r="B44" s="20"/>
      <c r="C44" s="21" t="s">
        <v>20</v>
      </c>
      <c r="D44" s="21"/>
      <c r="E44" s="21"/>
      <c r="F44" s="20"/>
      <c r="G44" s="22" t="s">
        <v>21</v>
      </c>
      <c r="H44" s="23" t="s">
        <v>22</v>
      </c>
      <c r="I44" s="23" t="s">
        <v>23</v>
      </c>
      <c r="J44" s="23" t="s">
        <v>24</v>
      </c>
    </row>
    <row r="45" spans="1:11" x14ac:dyDescent="0.2">
      <c r="A45" s="24" t="s">
        <v>25</v>
      </c>
      <c r="B45" s="25"/>
      <c r="C45" s="26"/>
      <c r="D45" s="26"/>
      <c r="E45" s="26"/>
      <c r="F45" s="26"/>
      <c r="G45" s="26"/>
      <c r="H45" s="27"/>
      <c r="I45" s="27"/>
      <c r="J45" s="28"/>
      <c r="K45" s="3" t="s">
        <v>77</v>
      </c>
    </row>
    <row r="46" spans="1:11" s="29" customFormat="1" ht="125.25" customHeight="1" x14ac:dyDescent="0.25">
      <c r="A46" s="30" t="s">
        <v>43</v>
      </c>
      <c r="B46" s="68"/>
      <c r="C46" s="158" t="s">
        <v>451</v>
      </c>
      <c r="D46" s="158"/>
      <c r="E46" s="158"/>
      <c r="F46" s="158"/>
      <c r="G46" s="57" t="s">
        <v>49</v>
      </c>
      <c r="H46" s="58">
        <v>0</v>
      </c>
      <c r="I46" s="67">
        <v>326</v>
      </c>
      <c r="J46" s="60">
        <f t="shared" ref="J46" si="5">H46*I46</f>
        <v>0</v>
      </c>
    </row>
    <row r="47" spans="1:11" s="29" customFormat="1" ht="12.75" x14ac:dyDescent="0.25">
      <c r="A47" s="30"/>
      <c r="B47" s="128"/>
      <c r="C47" s="129"/>
      <c r="D47" s="70"/>
      <c r="E47" s="70"/>
      <c r="F47" s="71"/>
      <c r="G47" s="32"/>
      <c r="H47" s="33"/>
      <c r="I47" s="130"/>
      <c r="J47" s="35"/>
    </row>
    <row r="48" spans="1:11" s="29" customFormat="1" ht="12.75" x14ac:dyDescent="0.25">
      <c r="A48" s="30"/>
      <c r="B48" s="128"/>
      <c r="C48" s="129"/>
      <c r="D48" s="70"/>
      <c r="E48" s="70"/>
      <c r="F48" s="71"/>
      <c r="G48" s="32"/>
      <c r="H48" s="33"/>
      <c r="I48" s="130"/>
      <c r="J48" s="35"/>
    </row>
    <row r="49" spans="1:10" s="29" customFormat="1" ht="12.75" x14ac:dyDescent="0.25">
      <c r="A49" s="30"/>
      <c r="B49" s="128"/>
      <c r="C49" s="129"/>
      <c r="D49" s="70"/>
      <c r="E49" s="70"/>
      <c r="F49" s="71"/>
      <c r="G49" s="32"/>
      <c r="H49" s="33"/>
      <c r="I49" s="130"/>
      <c r="J49" s="35"/>
    </row>
    <row r="50" spans="1:10" s="29" customFormat="1" ht="12.75" x14ac:dyDescent="0.25">
      <c r="A50" s="30"/>
      <c r="B50" s="128"/>
      <c r="C50" s="129"/>
      <c r="D50" s="70"/>
      <c r="E50" s="70"/>
      <c r="F50" s="71"/>
      <c r="G50" s="32"/>
      <c r="H50" s="33"/>
      <c r="I50" s="130"/>
      <c r="J50" s="35"/>
    </row>
    <row r="51" spans="1:10" s="29" customFormat="1" ht="12.75" x14ac:dyDescent="0.25">
      <c r="A51" s="30"/>
      <c r="B51" s="128"/>
      <c r="C51" s="129"/>
      <c r="D51" s="70"/>
      <c r="E51" s="70"/>
      <c r="F51" s="71"/>
      <c r="G51" s="32"/>
      <c r="H51" s="33"/>
      <c r="I51" s="130"/>
      <c r="J51" s="35"/>
    </row>
    <row r="52" spans="1:10" s="29" customFormat="1" ht="12.75" x14ac:dyDescent="0.25">
      <c r="A52" s="30"/>
      <c r="B52" s="128"/>
      <c r="C52" s="129"/>
      <c r="D52" s="70"/>
      <c r="E52" s="70"/>
      <c r="F52" s="71"/>
      <c r="G52" s="32"/>
      <c r="H52" s="33"/>
      <c r="I52" s="130"/>
      <c r="J52" s="35"/>
    </row>
    <row r="53" spans="1:10" s="29" customFormat="1" ht="12.75" x14ac:dyDescent="0.25">
      <c r="A53" s="30"/>
      <c r="B53" s="128"/>
      <c r="C53" s="129"/>
      <c r="D53" s="70"/>
      <c r="E53" s="70"/>
      <c r="F53" s="71"/>
      <c r="G53" s="32"/>
      <c r="H53" s="33"/>
      <c r="I53" s="130"/>
      <c r="J53" s="35"/>
    </row>
    <row r="54" spans="1:10" s="29" customFormat="1" ht="12.75" x14ac:dyDescent="0.25">
      <c r="A54" s="30"/>
      <c r="B54" s="128"/>
      <c r="C54" s="129"/>
      <c r="D54" s="70"/>
      <c r="E54" s="70"/>
      <c r="F54" s="71"/>
      <c r="G54" s="32"/>
      <c r="H54" s="33"/>
      <c r="I54" s="130"/>
      <c r="J54" s="35"/>
    </row>
    <row r="55" spans="1:10" s="29" customFormat="1" ht="12.75" x14ac:dyDescent="0.25">
      <c r="A55" s="30"/>
      <c r="B55" s="128"/>
      <c r="C55" s="129"/>
      <c r="D55" s="70"/>
      <c r="E55" s="70"/>
      <c r="F55" s="71"/>
      <c r="G55" s="32"/>
      <c r="H55" s="33"/>
      <c r="I55" s="130"/>
      <c r="J55" s="35"/>
    </row>
    <row r="56" spans="1:10" s="29" customFormat="1" ht="12.75" x14ac:dyDescent="0.25">
      <c r="A56" s="30"/>
      <c r="B56" s="128"/>
      <c r="C56" s="129"/>
      <c r="D56" s="70"/>
      <c r="E56" s="70"/>
      <c r="F56" s="71"/>
      <c r="G56" s="32"/>
      <c r="H56" s="33"/>
      <c r="I56" s="130"/>
      <c r="J56" s="35"/>
    </row>
    <row r="57" spans="1:10" s="29" customFormat="1" ht="12.75" x14ac:dyDescent="0.25">
      <c r="A57" s="30"/>
      <c r="B57" s="128"/>
      <c r="C57" s="129"/>
      <c r="D57" s="70"/>
      <c r="E57" s="70"/>
      <c r="F57" s="71"/>
      <c r="G57" s="32"/>
      <c r="H57" s="33"/>
      <c r="I57" s="130"/>
      <c r="J57" s="35"/>
    </row>
    <row r="58" spans="1:10" s="29" customFormat="1" ht="12.75" x14ac:dyDescent="0.25">
      <c r="A58" s="30"/>
      <c r="B58" s="128"/>
      <c r="C58" s="129"/>
      <c r="D58" s="70"/>
      <c r="E58" s="70"/>
      <c r="F58" s="71"/>
      <c r="G58" s="32"/>
      <c r="H58" s="33"/>
      <c r="I58" s="130"/>
      <c r="J58" s="35"/>
    </row>
    <row r="59" spans="1:10" s="29" customFormat="1" x14ac:dyDescent="0.25">
      <c r="A59" s="30"/>
      <c r="B59" s="31"/>
      <c r="C59" s="69"/>
      <c r="D59" s="70"/>
      <c r="E59" s="70"/>
      <c r="F59" s="71"/>
      <c r="G59" s="32"/>
      <c r="H59" s="33"/>
      <c r="I59" s="34"/>
      <c r="J59" s="35"/>
    </row>
    <row r="60" spans="1:10" s="29" customFormat="1" x14ac:dyDescent="0.25">
      <c r="A60" s="30"/>
      <c r="B60" s="31"/>
      <c r="C60" s="69"/>
      <c r="D60" s="70"/>
      <c r="E60" s="70"/>
      <c r="F60" s="71"/>
      <c r="G60" s="32"/>
      <c r="H60" s="33"/>
      <c r="I60" s="34"/>
      <c r="J60" s="35"/>
    </row>
    <row r="61" spans="1:10" s="29" customFormat="1" x14ac:dyDescent="0.25">
      <c r="A61" s="30"/>
      <c r="B61" s="31"/>
      <c r="C61" s="69"/>
      <c r="D61" s="70"/>
      <c r="E61" s="70"/>
      <c r="F61" s="71"/>
      <c r="G61" s="32"/>
      <c r="H61" s="33"/>
      <c r="I61" s="34"/>
      <c r="J61" s="35"/>
    </row>
    <row r="62" spans="1:10" s="29" customFormat="1" x14ac:dyDescent="0.25">
      <c r="A62" s="30"/>
      <c r="B62" s="31"/>
      <c r="C62" s="69"/>
      <c r="D62" s="70"/>
      <c r="E62" s="70"/>
      <c r="F62" s="71"/>
      <c r="G62" s="32"/>
      <c r="H62" s="33"/>
      <c r="I62" s="34"/>
      <c r="J62" s="35"/>
    </row>
    <row r="63" spans="1:10" s="29" customFormat="1" x14ac:dyDescent="0.25">
      <c r="A63" s="30"/>
      <c r="B63" s="31"/>
      <c r="C63" s="69"/>
      <c r="D63" s="70"/>
      <c r="E63" s="70"/>
      <c r="F63" s="71"/>
      <c r="G63" s="32"/>
      <c r="H63" s="33"/>
      <c r="I63" s="34"/>
      <c r="J63" s="35"/>
    </row>
    <row r="64" spans="1:10" s="29" customFormat="1" x14ac:dyDescent="0.25">
      <c r="A64" s="30"/>
      <c r="B64" s="31"/>
      <c r="C64" s="69"/>
      <c r="D64" s="70"/>
      <c r="E64" s="70"/>
      <c r="F64" s="71"/>
      <c r="G64" s="32"/>
      <c r="H64" s="33"/>
      <c r="I64" s="34"/>
      <c r="J64" s="35"/>
    </row>
    <row r="65" spans="1:10" s="29" customFormat="1" x14ac:dyDescent="0.25">
      <c r="A65" s="30"/>
      <c r="B65" s="31"/>
      <c r="C65" s="69"/>
      <c r="D65" s="70"/>
      <c r="E65" s="70"/>
      <c r="F65" s="71"/>
      <c r="G65" s="32"/>
      <c r="H65" s="33"/>
      <c r="I65" s="34"/>
      <c r="J65" s="35"/>
    </row>
    <row r="66" spans="1:10" s="29" customFormat="1" x14ac:dyDescent="0.25">
      <c r="A66" s="30"/>
      <c r="B66" s="31"/>
      <c r="C66" s="69"/>
      <c r="D66" s="70"/>
      <c r="E66" s="70"/>
      <c r="F66" s="71"/>
      <c r="G66" s="32"/>
      <c r="H66" s="33"/>
      <c r="I66" s="34"/>
      <c r="J66" s="35"/>
    </row>
    <row r="67" spans="1:10" s="29" customFormat="1" x14ac:dyDescent="0.25">
      <c r="A67" s="30"/>
      <c r="B67" s="31"/>
      <c r="C67" s="69"/>
      <c r="D67" s="70"/>
      <c r="E67" s="70"/>
      <c r="F67" s="71"/>
      <c r="G67" s="32"/>
      <c r="H67" s="33"/>
      <c r="I67" s="34"/>
      <c r="J67" s="35"/>
    </row>
    <row r="68" spans="1:10" s="29" customFormat="1" x14ac:dyDescent="0.25">
      <c r="A68" s="30"/>
      <c r="B68" s="31"/>
      <c r="C68" s="69"/>
      <c r="D68" s="70"/>
      <c r="E68" s="70"/>
      <c r="F68" s="71"/>
      <c r="G68" s="32"/>
      <c r="H68" s="33"/>
      <c r="I68" s="34"/>
      <c r="J68" s="35"/>
    </row>
    <row r="69" spans="1:10" s="29" customFormat="1" x14ac:dyDescent="0.25">
      <c r="A69" s="30"/>
      <c r="B69" s="31"/>
      <c r="C69" s="69"/>
      <c r="D69" s="70"/>
      <c r="E69" s="70"/>
      <c r="F69" s="71"/>
      <c r="G69" s="32"/>
      <c r="H69" s="33"/>
      <c r="I69" s="34"/>
      <c r="J69" s="35"/>
    </row>
    <row r="70" spans="1:10" s="29" customFormat="1" x14ac:dyDescent="0.25">
      <c r="A70" s="30"/>
      <c r="B70" s="31"/>
      <c r="C70" s="69"/>
      <c r="D70" s="70"/>
      <c r="E70" s="70"/>
      <c r="F70" s="71"/>
      <c r="G70" s="32"/>
      <c r="H70" s="33"/>
      <c r="I70" s="34"/>
      <c r="J70" s="35"/>
    </row>
    <row r="71" spans="1:10" s="29" customFormat="1" x14ac:dyDescent="0.25">
      <c r="A71" s="30"/>
      <c r="B71" s="31"/>
      <c r="C71" s="69"/>
      <c r="D71" s="70"/>
      <c r="E71" s="70"/>
      <c r="F71" s="71"/>
      <c r="G71" s="32"/>
      <c r="H71" s="33"/>
      <c r="I71" s="34"/>
      <c r="J71" s="35"/>
    </row>
    <row r="72" spans="1:10" s="29" customFormat="1" x14ac:dyDescent="0.25">
      <c r="A72" s="30"/>
      <c r="B72" s="31"/>
      <c r="C72" s="69"/>
      <c r="D72" s="70"/>
      <c r="E72" s="70"/>
      <c r="F72" s="71"/>
      <c r="G72" s="32"/>
      <c r="H72" s="33"/>
      <c r="I72" s="34"/>
      <c r="J72" s="35"/>
    </row>
    <row r="73" spans="1:10" s="29" customFormat="1" x14ac:dyDescent="0.25">
      <c r="A73" s="30"/>
      <c r="B73" s="31"/>
      <c r="C73" s="69"/>
      <c r="D73" s="70"/>
      <c r="E73" s="70"/>
      <c r="F73" s="71"/>
      <c r="G73" s="32"/>
      <c r="H73" s="33"/>
      <c r="I73" s="34"/>
      <c r="J73" s="35"/>
    </row>
    <row r="74" spans="1:10" s="29" customFormat="1" x14ac:dyDescent="0.25">
      <c r="A74" s="30"/>
      <c r="B74" s="31"/>
      <c r="C74" s="69"/>
      <c r="D74" s="70"/>
      <c r="E74" s="70"/>
      <c r="F74" s="71"/>
      <c r="G74" s="32"/>
      <c r="H74" s="33"/>
      <c r="I74" s="34"/>
      <c r="J74" s="35"/>
    </row>
    <row r="75" spans="1:10" s="29" customFormat="1" x14ac:dyDescent="0.25">
      <c r="A75" s="30"/>
      <c r="B75" s="31"/>
      <c r="C75" s="69"/>
      <c r="D75" s="70"/>
      <c r="E75" s="70"/>
      <c r="F75" s="71"/>
      <c r="G75" s="32"/>
      <c r="H75" s="33"/>
      <c r="I75" s="34"/>
      <c r="J75" s="35"/>
    </row>
    <row r="76" spans="1:10" s="29" customFormat="1" x14ac:dyDescent="0.25">
      <c r="A76" s="30"/>
      <c r="B76" s="31"/>
      <c r="C76" s="69"/>
      <c r="D76" s="70"/>
      <c r="E76" s="70"/>
      <c r="F76" s="71"/>
      <c r="G76" s="32"/>
      <c r="H76" s="33"/>
      <c r="I76" s="34"/>
      <c r="J76" s="35"/>
    </row>
    <row r="77" spans="1:10" s="29" customFormat="1" x14ac:dyDescent="0.25">
      <c r="A77" s="30"/>
      <c r="B77" s="31"/>
      <c r="C77" s="69"/>
      <c r="D77" s="70"/>
      <c r="E77" s="70"/>
      <c r="F77" s="71"/>
      <c r="G77" s="32"/>
      <c r="H77" s="33"/>
      <c r="I77" s="34"/>
      <c r="J77" s="35"/>
    </row>
    <row r="78" spans="1:10" s="29" customFormat="1" x14ac:dyDescent="0.25">
      <c r="A78" s="30"/>
      <c r="B78" s="31"/>
      <c r="C78" s="69"/>
      <c r="D78" s="70"/>
      <c r="E78" s="70"/>
      <c r="F78" s="71"/>
      <c r="G78" s="32"/>
      <c r="H78" s="33"/>
      <c r="I78" s="34"/>
      <c r="J78" s="35"/>
    </row>
    <row r="79" spans="1:10" s="29" customFormat="1" x14ac:dyDescent="0.25">
      <c r="A79" s="30"/>
      <c r="B79" s="31"/>
      <c r="C79" s="69"/>
      <c r="D79" s="70"/>
      <c r="E79" s="70"/>
      <c r="F79" s="71"/>
      <c r="G79" s="32"/>
      <c r="H79" s="33"/>
      <c r="I79" s="34"/>
      <c r="J79" s="35"/>
    </row>
    <row r="80" spans="1:10" s="29" customFormat="1" x14ac:dyDescent="0.25">
      <c r="A80" s="30"/>
      <c r="B80" s="31"/>
      <c r="C80" s="69"/>
      <c r="D80" s="70"/>
      <c r="E80" s="70"/>
      <c r="F80" s="71"/>
      <c r="G80" s="32"/>
      <c r="H80" s="33"/>
      <c r="I80" s="34"/>
      <c r="J80" s="35"/>
    </row>
    <row r="81" spans="1:10" s="29" customFormat="1" x14ac:dyDescent="0.25">
      <c r="A81" s="30"/>
      <c r="B81" s="31"/>
      <c r="C81" s="69"/>
      <c r="D81" s="70"/>
      <c r="E81" s="70"/>
      <c r="F81" s="71"/>
      <c r="G81" s="32"/>
      <c r="H81" s="33"/>
      <c r="I81" s="34"/>
      <c r="J81" s="35"/>
    </row>
    <row r="82" spans="1:10" s="29" customFormat="1" x14ac:dyDescent="0.25">
      <c r="A82" s="30"/>
      <c r="B82" s="31"/>
      <c r="C82" s="69"/>
      <c r="D82" s="70"/>
      <c r="E82" s="70"/>
      <c r="F82" s="71"/>
      <c r="G82" s="32"/>
      <c r="H82" s="33"/>
      <c r="I82" s="34"/>
      <c r="J82" s="35"/>
    </row>
    <row r="83" spans="1:10" s="29" customFormat="1" x14ac:dyDescent="0.25">
      <c r="A83" s="30"/>
      <c r="B83" s="31"/>
      <c r="C83" s="122"/>
      <c r="D83" s="120"/>
      <c r="E83" s="120"/>
      <c r="F83" s="121"/>
      <c r="G83" s="32"/>
      <c r="H83" s="33"/>
      <c r="I83" s="34"/>
      <c r="J83" s="35"/>
    </row>
    <row r="84" spans="1:10" s="29" customFormat="1" ht="12" thickBot="1" x14ac:dyDescent="0.3">
      <c r="A84" s="30"/>
      <c r="B84" s="31"/>
      <c r="C84" s="162"/>
      <c r="D84" s="162"/>
      <c r="E84" s="162"/>
      <c r="F84" s="162"/>
      <c r="G84" s="32"/>
      <c r="H84" s="33"/>
      <c r="I84" s="34" t="s">
        <v>26</v>
      </c>
      <c r="J84" s="35">
        <f>SUM(J16:J83)</f>
        <v>152386.73759999999</v>
      </c>
    </row>
    <row r="85" spans="1:10" x14ac:dyDescent="0.2">
      <c r="A85" s="39"/>
      <c r="B85" s="40"/>
      <c r="C85" s="40"/>
      <c r="D85" s="40"/>
      <c r="E85" s="40"/>
      <c r="F85" s="41"/>
      <c r="G85" s="48"/>
      <c r="H85" s="49"/>
      <c r="I85" s="50"/>
      <c r="J85" s="36"/>
    </row>
    <row r="86" spans="1:10" x14ac:dyDescent="0.2">
      <c r="A86" s="42" t="s">
        <v>27</v>
      </c>
      <c r="B86" s="21"/>
      <c r="C86" s="43"/>
      <c r="D86" s="43"/>
      <c r="E86" s="43"/>
      <c r="F86" s="44"/>
      <c r="G86" s="51"/>
      <c r="H86" s="52"/>
      <c r="I86" s="53"/>
      <c r="J86" s="37">
        <f>J84</f>
        <v>152386.73759999999</v>
      </c>
    </row>
    <row r="87" spans="1:10" ht="12" thickBot="1" x14ac:dyDescent="0.25">
      <c r="A87" s="45"/>
      <c r="B87" s="46"/>
      <c r="C87" s="46"/>
      <c r="D87" s="46"/>
      <c r="E87" s="46"/>
      <c r="F87" s="47"/>
      <c r="G87" s="54"/>
      <c r="H87" s="46"/>
      <c r="I87" s="47"/>
      <c r="J87" s="38"/>
    </row>
    <row r="88" spans="1:10" s="64" customFormat="1" x14ac:dyDescent="0.25">
      <c r="A88" s="61" t="s">
        <v>66</v>
      </c>
      <c r="B88" s="61" t="s">
        <v>67</v>
      </c>
      <c r="C88" s="62"/>
      <c r="D88" s="63"/>
      <c r="E88" s="63"/>
      <c r="F88" s="63"/>
      <c r="H88" s="65"/>
      <c r="I88" s="66"/>
      <c r="J88" s="66"/>
    </row>
    <row r="89" spans="1:10" s="64" customFormat="1" x14ac:dyDescent="0.25">
      <c r="A89" s="61"/>
      <c r="B89" s="61"/>
      <c r="C89" s="62"/>
      <c r="D89" s="63"/>
      <c r="E89" s="63"/>
      <c r="F89" s="63"/>
      <c r="H89" s="65"/>
      <c r="I89" s="66"/>
      <c r="J89" s="66"/>
    </row>
    <row r="90" spans="1:10" s="64" customFormat="1" x14ac:dyDescent="0.25">
      <c r="A90" s="61"/>
      <c r="B90" s="61"/>
      <c r="C90" s="62"/>
      <c r="D90" s="63"/>
      <c r="E90" s="63"/>
      <c r="F90" s="63"/>
      <c r="H90" s="65"/>
      <c r="I90" s="66"/>
      <c r="J90" s="66"/>
    </row>
    <row r="91" spans="1:10" s="64" customFormat="1" x14ac:dyDescent="0.25">
      <c r="A91" s="61"/>
      <c r="B91" s="61"/>
      <c r="C91" s="62"/>
      <c r="D91" s="63"/>
      <c r="E91" s="63"/>
      <c r="F91" s="63"/>
      <c r="H91" s="65"/>
      <c r="I91" s="66"/>
      <c r="J91" s="66"/>
    </row>
    <row r="92" spans="1:10" s="64" customFormat="1" x14ac:dyDescent="0.25">
      <c r="A92" s="61"/>
      <c r="B92" s="61"/>
      <c r="C92" s="62"/>
      <c r="D92" s="63"/>
      <c r="E92" s="63"/>
      <c r="F92" s="63"/>
      <c r="H92" s="65"/>
      <c r="I92" s="66"/>
      <c r="J92" s="66"/>
    </row>
    <row r="93" spans="1:10" s="64" customFormat="1" x14ac:dyDescent="0.25">
      <c r="A93" s="61"/>
      <c r="B93" s="61"/>
      <c r="C93" s="62"/>
      <c r="D93" s="63"/>
      <c r="E93" s="63"/>
      <c r="F93" s="63"/>
      <c r="H93" s="65"/>
      <c r="I93" s="66"/>
      <c r="J93" s="66"/>
    </row>
    <row r="94" spans="1:10" s="64" customFormat="1" x14ac:dyDescent="0.25">
      <c r="A94" s="61"/>
      <c r="B94" s="61"/>
      <c r="C94" s="62"/>
      <c r="D94" s="63"/>
      <c r="E94" s="63"/>
      <c r="F94" s="63"/>
      <c r="H94" s="65"/>
      <c r="I94" s="66"/>
      <c r="J94" s="66"/>
    </row>
    <row r="95" spans="1:10" s="64" customFormat="1" x14ac:dyDescent="0.25">
      <c r="A95" s="61"/>
      <c r="B95" s="61"/>
      <c r="C95" s="62"/>
      <c r="D95" s="63"/>
      <c r="E95" s="63"/>
      <c r="F95" s="63"/>
      <c r="H95" s="65"/>
      <c r="I95" s="66"/>
      <c r="J95" s="66"/>
    </row>
    <row r="96" spans="1:10" s="64" customFormat="1" x14ac:dyDescent="0.25">
      <c r="A96" s="61"/>
      <c r="B96" s="61"/>
      <c r="C96" s="62"/>
      <c r="D96" s="63"/>
      <c r="E96" s="63"/>
      <c r="F96" s="63"/>
      <c r="H96" s="65"/>
      <c r="I96" s="66"/>
      <c r="J96" s="66"/>
    </row>
    <row r="97" spans="1:10" s="64" customFormat="1" x14ac:dyDescent="0.25">
      <c r="A97" s="61"/>
      <c r="B97" s="61"/>
      <c r="C97" s="62"/>
      <c r="D97" s="63"/>
      <c r="E97" s="63"/>
      <c r="F97" s="63"/>
      <c r="H97" s="65"/>
      <c r="I97" s="66"/>
      <c r="J97" s="66"/>
    </row>
  </sheetData>
  <mergeCells count="13">
    <mergeCell ref="C38:F38"/>
    <mergeCell ref="C37:F37"/>
    <mergeCell ref="C84:F84"/>
    <mergeCell ref="C33:F33"/>
    <mergeCell ref="C34:F34"/>
    <mergeCell ref="C46:F46"/>
    <mergeCell ref="C35:F35"/>
    <mergeCell ref="C36:F36"/>
    <mergeCell ref="C17:F17"/>
    <mergeCell ref="C16:F16"/>
    <mergeCell ref="C18:F18"/>
    <mergeCell ref="C19:F19"/>
    <mergeCell ref="C20:F20"/>
  </mergeCells>
  <pageMargins left="0.70866141732283472" right="0.70866141732283472" top="0.35433070866141736" bottom="0.35433070866141736" header="0.31496062992125984" footer="0.31496062992125984"/>
  <pageSetup scale="88"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25</vt:i4>
      </vt:variant>
    </vt:vector>
  </HeadingPairs>
  <TitlesOfParts>
    <vt:vector size="41" baseType="lpstr">
      <vt:lpstr>URGENCIAS</vt:lpstr>
      <vt:lpstr>TOCO</vt:lpstr>
      <vt:lpstr>SINDICATO</vt:lpstr>
      <vt:lpstr>CUARTO DE ENCAMADO</vt:lpstr>
      <vt:lpstr>EL DORADO</vt:lpstr>
      <vt:lpstr>BAÑOS DE CUNEROS</vt:lpstr>
      <vt:lpstr>BAÑOS UCIN</vt:lpstr>
      <vt:lpstr>SALAS DE RX</vt:lpstr>
      <vt:lpstr>PASILLOS Y BAÑOS 4 PISO</vt:lpstr>
      <vt:lpstr>PASILLOS PISO 3</vt:lpstr>
      <vt:lpstr>PASILLOS PISO 2</vt:lpstr>
      <vt:lpstr>PASILLO PISO 1</vt:lpstr>
      <vt:lpstr>TERAPIA</vt:lpstr>
      <vt:lpstr>SUBDELEGACION</vt:lpstr>
      <vt:lpstr>SUBDELEGACION ELECTRICO</vt:lpstr>
      <vt:lpstr>Hoja1</vt:lpstr>
      <vt:lpstr>'BAÑOS DE CUNEROS'!Área_de_impresión</vt:lpstr>
      <vt:lpstr>'BAÑOS UCIN'!Área_de_impresión</vt:lpstr>
      <vt:lpstr>'CUARTO DE ENCAMADO'!Área_de_impresión</vt:lpstr>
      <vt:lpstr>'EL DORADO'!Área_de_impresión</vt:lpstr>
      <vt:lpstr>'PASILLOS PISO 2'!Área_de_impresión</vt:lpstr>
      <vt:lpstr>'PASILLOS Y BAÑOS 4 PISO'!Área_de_impresión</vt:lpstr>
      <vt:lpstr>'SALAS DE RX'!Área_de_impresión</vt:lpstr>
      <vt:lpstr>SINDICATO!Área_de_impresión</vt:lpstr>
      <vt:lpstr>SUBDELEGACION!Área_de_impresión</vt:lpstr>
      <vt:lpstr>TERAPIA!Área_de_impresión</vt:lpstr>
      <vt:lpstr>URGENCIAS!Área_de_impresión</vt:lpstr>
      <vt:lpstr>'BAÑOS DE CUNEROS'!Títulos_a_imprimir</vt:lpstr>
      <vt:lpstr>'BAÑOS UCIN'!Títulos_a_imprimir</vt:lpstr>
      <vt:lpstr>'CUARTO DE ENCAMADO'!Títulos_a_imprimir</vt:lpstr>
      <vt:lpstr>'EL DORADO'!Títulos_a_imprimir</vt:lpstr>
      <vt:lpstr>'PASILLO PISO 1'!Títulos_a_imprimir</vt:lpstr>
      <vt:lpstr>'PASILLOS PISO 2'!Títulos_a_imprimir</vt:lpstr>
      <vt:lpstr>'PASILLOS PISO 3'!Títulos_a_imprimir</vt:lpstr>
      <vt:lpstr>'PASILLOS Y BAÑOS 4 PISO'!Títulos_a_imprimir</vt:lpstr>
      <vt:lpstr>'SALAS DE RX'!Títulos_a_imprimir</vt:lpstr>
      <vt:lpstr>SINDICATO!Títulos_a_imprimir</vt:lpstr>
      <vt:lpstr>'SUBDELEGACION ELECTRICO'!Títulos_a_imprimir</vt:lpstr>
      <vt:lpstr>TERAPIA!Títulos_a_imprimir</vt:lpstr>
      <vt:lpstr>TOCO!Títulos_a_imprimir</vt:lpstr>
      <vt:lpstr>URGENCIAS!Títulos_a_imprimir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dc:creator>
  <cp:lastModifiedBy>Miguel Angel Lopez Rocha</cp:lastModifiedBy>
  <cp:lastPrinted>2016-09-02T17:13:01Z</cp:lastPrinted>
  <dcterms:created xsi:type="dcterms:W3CDTF">2010-09-23T17:47:33Z</dcterms:created>
  <dcterms:modified xsi:type="dcterms:W3CDTF">2016-09-09T01:22:06Z</dcterms:modified>
</cp:coreProperties>
</file>