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.mendoza\Desktop\Elsa\2024\ENAJENACIONES\Licitación 002-JAL-24\Anexos\"/>
    </mc:Choice>
  </mc:AlternateContent>
  <xr:revisionPtr revIDLastSave="0" documentId="13_ncr:1_{A93463A0-569D-44A3-A18D-3C775159C6BD}" xr6:coauthVersionLast="47" xr6:coauthVersionMax="47" xr10:uidLastSave="{00000000-0000-0000-0000-000000000000}"/>
  <bookViews>
    <workbookView xWindow="-120" yWindow="-120" windowWidth="29040" windowHeight="15840" xr2:uid="{D2D2EEB7-DC2F-4552-A914-4860FB4DF4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9" i="1" l="1"/>
  <c r="F1308" i="1"/>
  <c r="E1308" i="1"/>
  <c r="D1308" i="1"/>
  <c r="C1308" i="1"/>
  <c r="F1307" i="1"/>
  <c r="E1307" i="1"/>
  <c r="D1307" i="1"/>
  <c r="C1307" i="1"/>
  <c r="F1306" i="1"/>
  <c r="E1306" i="1"/>
  <c r="D1306" i="1"/>
  <c r="C1306" i="1"/>
  <c r="F1305" i="1"/>
  <c r="E1305" i="1"/>
  <c r="D1305" i="1"/>
  <c r="C1305" i="1"/>
  <c r="F1304" i="1"/>
  <c r="E1304" i="1"/>
  <c r="D1304" i="1"/>
  <c r="C1304" i="1"/>
  <c r="F1303" i="1"/>
  <c r="E1303" i="1"/>
  <c r="D1303" i="1"/>
  <c r="C1303" i="1"/>
  <c r="F1302" i="1"/>
  <c r="E1302" i="1"/>
  <c r="D1302" i="1"/>
  <c r="C1302" i="1"/>
  <c r="F1301" i="1"/>
  <c r="E1301" i="1"/>
  <c r="D1301" i="1"/>
  <c r="C1301" i="1"/>
  <c r="F1300" i="1"/>
  <c r="E1300" i="1"/>
  <c r="D1300" i="1"/>
  <c r="C1300" i="1"/>
  <c r="F1299" i="1"/>
  <c r="E1299" i="1"/>
  <c r="D1299" i="1"/>
  <c r="C1299" i="1"/>
  <c r="F1298" i="1"/>
  <c r="E1298" i="1"/>
  <c r="D1298" i="1"/>
  <c r="C1298" i="1"/>
  <c r="F1297" i="1"/>
  <c r="E1297" i="1"/>
  <c r="D1297" i="1"/>
  <c r="C1297" i="1"/>
  <c r="F1296" i="1"/>
  <c r="E1296" i="1"/>
  <c r="D1296" i="1"/>
  <c r="C1296" i="1"/>
  <c r="F1295" i="1"/>
  <c r="E1295" i="1"/>
  <c r="D1295" i="1"/>
  <c r="C1295" i="1"/>
  <c r="F1294" i="1"/>
  <c r="E1294" i="1"/>
  <c r="D1294" i="1"/>
  <c r="C1294" i="1"/>
  <c r="F1293" i="1"/>
  <c r="E1293" i="1"/>
  <c r="D1293" i="1"/>
  <c r="C1293" i="1"/>
  <c r="F1292" i="1"/>
  <c r="E1292" i="1"/>
  <c r="D1292" i="1"/>
  <c r="C1292" i="1"/>
  <c r="F1291" i="1"/>
  <c r="E1291" i="1"/>
  <c r="D1291" i="1"/>
  <c r="C1291" i="1"/>
  <c r="F1290" i="1"/>
  <c r="E1290" i="1"/>
  <c r="D1290" i="1"/>
  <c r="C1290" i="1"/>
  <c r="F1289" i="1"/>
  <c r="E1289" i="1"/>
  <c r="D1289" i="1"/>
  <c r="C1289" i="1"/>
  <c r="F1288" i="1"/>
  <c r="E1288" i="1"/>
  <c r="D1288" i="1"/>
  <c r="C1288" i="1"/>
  <c r="F1287" i="1"/>
  <c r="E1287" i="1"/>
  <c r="D1287" i="1"/>
  <c r="C1287" i="1"/>
  <c r="F1286" i="1"/>
  <c r="E1286" i="1"/>
  <c r="D1286" i="1"/>
  <c r="C1286" i="1"/>
  <c r="F1285" i="1"/>
  <c r="E1285" i="1"/>
  <c r="D1285" i="1"/>
  <c r="C1285" i="1"/>
  <c r="F1284" i="1"/>
  <c r="E1284" i="1"/>
  <c r="D1284" i="1"/>
  <c r="C1284" i="1"/>
  <c r="F1283" i="1"/>
  <c r="E1283" i="1"/>
  <c r="D1283" i="1"/>
  <c r="C1283" i="1"/>
  <c r="F1282" i="1"/>
  <c r="E1282" i="1"/>
  <c r="D1282" i="1"/>
  <c r="C1282" i="1"/>
  <c r="F1281" i="1"/>
  <c r="E1281" i="1"/>
  <c r="D1281" i="1"/>
  <c r="C1281" i="1"/>
  <c r="F1280" i="1"/>
  <c r="E1280" i="1"/>
  <c r="D1280" i="1"/>
  <c r="C1280" i="1"/>
  <c r="F1279" i="1"/>
  <c r="E1279" i="1"/>
  <c r="D1279" i="1"/>
  <c r="C1279" i="1"/>
  <c r="F1278" i="1"/>
  <c r="E1278" i="1"/>
  <c r="D1278" i="1"/>
  <c r="C1278" i="1"/>
  <c r="F1277" i="1"/>
  <c r="E1277" i="1"/>
  <c r="D1277" i="1"/>
  <c r="C1277" i="1"/>
  <c r="F1276" i="1"/>
  <c r="E1276" i="1"/>
  <c r="D1276" i="1"/>
  <c r="C1276" i="1"/>
  <c r="F1275" i="1"/>
  <c r="E1275" i="1"/>
  <c r="D1275" i="1"/>
  <c r="C1275" i="1"/>
  <c r="F1274" i="1"/>
  <c r="E1274" i="1"/>
  <c r="D1274" i="1"/>
  <c r="C1274" i="1"/>
  <c r="F1273" i="1"/>
  <c r="E1273" i="1"/>
  <c r="D1273" i="1"/>
  <c r="C1273" i="1"/>
  <c r="F1272" i="1"/>
  <c r="E1272" i="1"/>
  <c r="D1272" i="1"/>
  <c r="C1272" i="1"/>
  <c r="F1271" i="1"/>
  <c r="E1271" i="1"/>
  <c r="D1271" i="1"/>
  <c r="C1271" i="1"/>
  <c r="F1270" i="1"/>
  <c r="E1270" i="1"/>
  <c r="D1270" i="1"/>
  <c r="C1270" i="1"/>
  <c r="F1269" i="1"/>
  <c r="E1269" i="1"/>
  <c r="D1269" i="1"/>
  <c r="C1269" i="1"/>
  <c r="F1268" i="1"/>
  <c r="E1268" i="1"/>
  <c r="D1268" i="1"/>
  <c r="C1268" i="1"/>
  <c r="F1267" i="1"/>
  <c r="E1267" i="1"/>
  <c r="D1267" i="1"/>
  <c r="C1267" i="1"/>
  <c r="F1266" i="1"/>
  <c r="E1266" i="1"/>
  <c r="D1266" i="1"/>
  <c r="C1266" i="1"/>
  <c r="F1265" i="1"/>
  <c r="E1265" i="1"/>
  <c r="D1265" i="1"/>
  <c r="C1265" i="1"/>
  <c r="F1264" i="1"/>
  <c r="E1264" i="1"/>
  <c r="D1264" i="1"/>
  <c r="C1264" i="1"/>
  <c r="F1263" i="1"/>
  <c r="E1263" i="1"/>
  <c r="D1263" i="1"/>
  <c r="C1263" i="1"/>
  <c r="F1262" i="1"/>
  <c r="E1262" i="1"/>
  <c r="D1262" i="1"/>
  <c r="C1262" i="1"/>
  <c r="F1261" i="1"/>
  <c r="E1261" i="1"/>
  <c r="D1261" i="1"/>
  <c r="C1261" i="1"/>
  <c r="F1260" i="1"/>
  <c r="E1260" i="1"/>
  <c r="D1260" i="1"/>
  <c r="C1260" i="1"/>
  <c r="F1259" i="1"/>
  <c r="E1259" i="1"/>
  <c r="D1259" i="1"/>
  <c r="C1259" i="1"/>
  <c r="F1258" i="1"/>
  <c r="E1258" i="1"/>
  <c r="D1258" i="1"/>
  <c r="C1258" i="1"/>
  <c r="F1257" i="1"/>
  <c r="E1257" i="1"/>
  <c r="D1257" i="1"/>
  <c r="C1257" i="1"/>
  <c r="F1256" i="1"/>
  <c r="E1256" i="1"/>
  <c r="D1256" i="1"/>
  <c r="C1256" i="1"/>
  <c r="F1255" i="1"/>
  <c r="E1255" i="1"/>
  <c r="D1255" i="1"/>
  <c r="C1255" i="1"/>
  <c r="F1254" i="1"/>
  <c r="E1254" i="1"/>
  <c r="D1254" i="1"/>
  <c r="C1254" i="1"/>
  <c r="F1253" i="1"/>
  <c r="E1253" i="1"/>
  <c r="D1253" i="1"/>
  <c r="C1253" i="1"/>
  <c r="F1252" i="1"/>
  <c r="E1252" i="1"/>
  <c r="D1252" i="1"/>
  <c r="C1252" i="1"/>
  <c r="F1251" i="1"/>
  <c r="E1251" i="1"/>
  <c r="D1251" i="1"/>
  <c r="C1251" i="1"/>
  <c r="F1250" i="1"/>
  <c r="E1250" i="1"/>
  <c r="D1250" i="1"/>
  <c r="C1250" i="1"/>
  <c r="F1249" i="1"/>
  <c r="E1249" i="1"/>
  <c r="D1249" i="1"/>
  <c r="C1249" i="1"/>
  <c r="F1248" i="1"/>
  <c r="E1248" i="1"/>
  <c r="D1248" i="1"/>
  <c r="C1248" i="1"/>
  <c r="F1247" i="1"/>
  <c r="E1247" i="1"/>
  <c r="D1247" i="1"/>
  <c r="C1247" i="1"/>
  <c r="F1246" i="1"/>
  <c r="E1246" i="1"/>
  <c r="D1246" i="1"/>
  <c r="C1246" i="1"/>
  <c r="F1245" i="1"/>
  <c r="E1245" i="1"/>
  <c r="D1245" i="1"/>
  <c r="C1245" i="1"/>
  <c r="F1244" i="1"/>
  <c r="E1244" i="1"/>
  <c r="D1244" i="1"/>
  <c r="C1244" i="1"/>
  <c r="F1243" i="1"/>
  <c r="E1243" i="1"/>
  <c r="D1243" i="1"/>
  <c r="C1243" i="1"/>
  <c r="F1242" i="1"/>
  <c r="E1242" i="1"/>
  <c r="D1242" i="1"/>
  <c r="C1242" i="1"/>
  <c r="F1241" i="1"/>
  <c r="E1241" i="1"/>
  <c r="D1241" i="1"/>
  <c r="C1241" i="1"/>
  <c r="F1240" i="1"/>
  <c r="E1240" i="1"/>
  <c r="D1240" i="1"/>
  <c r="C1240" i="1"/>
  <c r="F1239" i="1"/>
  <c r="E1239" i="1"/>
  <c r="D1239" i="1"/>
  <c r="C1239" i="1"/>
  <c r="F1238" i="1"/>
  <c r="E1238" i="1"/>
  <c r="D1238" i="1"/>
  <c r="C1238" i="1"/>
  <c r="F1237" i="1"/>
  <c r="E1237" i="1"/>
  <c r="D1237" i="1"/>
  <c r="C1237" i="1"/>
  <c r="F1236" i="1"/>
  <c r="E1236" i="1"/>
  <c r="D1236" i="1"/>
  <c r="C1236" i="1"/>
  <c r="F1235" i="1"/>
  <c r="E1235" i="1"/>
  <c r="D1235" i="1"/>
  <c r="C1235" i="1"/>
  <c r="F1234" i="1"/>
  <c r="E1234" i="1"/>
  <c r="D1234" i="1"/>
  <c r="C1234" i="1"/>
  <c r="F1233" i="1"/>
  <c r="E1233" i="1"/>
  <c r="D1233" i="1"/>
  <c r="C1233" i="1"/>
  <c r="F1232" i="1"/>
  <c r="E1232" i="1"/>
  <c r="D1232" i="1"/>
  <c r="C1232" i="1"/>
  <c r="F1231" i="1"/>
  <c r="E1231" i="1"/>
  <c r="D1231" i="1"/>
  <c r="C1231" i="1"/>
  <c r="F1230" i="1"/>
  <c r="E1230" i="1"/>
  <c r="D1230" i="1"/>
  <c r="C1230" i="1"/>
  <c r="F1229" i="1"/>
  <c r="E1229" i="1"/>
  <c r="D1229" i="1"/>
  <c r="C1229" i="1"/>
  <c r="F1228" i="1"/>
  <c r="E1228" i="1"/>
  <c r="D1228" i="1"/>
  <c r="C1228" i="1"/>
  <c r="F1227" i="1"/>
  <c r="E1227" i="1"/>
  <c r="D1227" i="1"/>
  <c r="C1227" i="1"/>
  <c r="F1226" i="1"/>
  <c r="E1226" i="1"/>
  <c r="D1226" i="1"/>
  <c r="C1226" i="1"/>
  <c r="F1225" i="1"/>
  <c r="E1225" i="1"/>
  <c r="D1225" i="1"/>
  <c r="C1225" i="1"/>
  <c r="F1224" i="1"/>
  <c r="E1224" i="1"/>
  <c r="D1224" i="1"/>
  <c r="C1224" i="1"/>
  <c r="F1223" i="1"/>
  <c r="E1223" i="1"/>
  <c r="D1223" i="1"/>
  <c r="C1223" i="1"/>
  <c r="F1222" i="1"/>
  <c r="E1222" i="1"/>
  <c r="D1222" i="1"/>
  <c r="C1222" i="1"/>
  <c r="F1221" i="1"/>
  <c r="E1221" i="1"/>
  <c r="D1221" i="1"/>
  <c r="C1221" i="1"/>
  <c r="F1220" i="1"/>
  <c r="E1220" i="1"/>
  <c r="D1220" i="1"/>
  <c r="C1220" i="1"/>
  <c r="F1219" i="1"/>
  <c r="E1219" i="1"/>
  <c r="D1219" i="1"/>
  <c r="C1219" i="1"/>
  <c r="F1218" i="1"/>
  <c r="E1218" i="1"/>
  <c r="D1218" i="1"/>
  <c r="C1218" i="1"/>
  <c r="F1217" i="1"/>
  <c r="E1217" i="1"/>
  <c r="D1217" i="1"/>
  <c r="C1217" i="1"/>
  <c r="F1216" i="1"/>
  <c r="E1216" i="1"/>
  <c r="D1216" i="1"/>
  <c r="C1216" i="1"/>
  <c r="F1215" i="1"/>
  <c r="E1215" i="1"/>
  <c r="D1215" i="1"/>
  <c r="C1215" i="1"/>
  <c r="F1214" i="1"/>
  <c r="E1214" i="1"/>
  <c r="D1214" i="1"/>
  <c r="C1214" i="1"/>
  <c r="F1213" i="1"/>
  <c r="E1213" i="1"/>
  <c r="D1213" i="1"/>
  <c r="C1213" i="1"/>
  <c r="F1212" i="1"/>
  <c r="E1212" i="1"/>
  <c r="D1212" i="1"/>
  <c r="C1212" i="1"/>
  <c r="F1211" i="1"/>
  <c r="E1211" i="1"/>
  <c r="D1211" i="1"/>
  <c r="C1211" i="1"/>
  <c r="F1210" i="1"/>
  <c r="E1210" i="1"/>
  <c r="D1210" i="1"/>
  <c r="C1210" i="1"/>
  <c r="F1209" i="1"/>
  <c r="E1209" i="1"/>
  <c r="D1209" i="1"/>
  <c r="C1209" i="1"/>
  <c r="F1208" i="1"/>
  <c r="E1208" i="1"/>
  <c r="D1208" i="1"/>
  <c r="C1208" i="1"/>
  <c r="F1207" i="1"/>
  <c r="E1207" i="1"/>
  <c r="D1207" i="1"/>
  <c r="C1207" i="1"/>
  <c r="F1206" i="1"/>
  <c r="E1206" i="1"/>
  <c r="D1206" i="1"/>
  <c r="C1206" i="1"/>
  <c r="F1205" i="1"/>
  <c r="E1205" i="1"/>
  <c r="D1205" i="1"/>
  <c r="C1205" i="1"/>
  <c r="F1204" i="1"/>
  <c r="E1204" i="1"/>
  <c r="D1204" i="1"/>
  <c r="C1204" i="1"/>
  <c r="F1203" i="1"/>
  <c r="E1203" i="1"/>
  <c r="D1203" i="1"/>
  <c r="C1203" i="1"/>
  <c r="F1202" i="1"/>
  <c r="E1202" i="1"/>
  <c r="D1202" i="1"/>
  <c r="C1202" i="1"/>
  <c r="F1201" i="1"/>
  <c r="E1201" i="1"/>
  <c r="D1201" i="1"/>
  <c r="C1201" i="1"/>
  <c r="F1200" i="1"/>
  <c r="E1200" i="1"/>
  <c r="D1200" i="1"/>
  <c r="C1200" i="1"/>
  <c r="F1199" i="1"/>
  <c r="E1199" i="1"/>
  <c r="D1199" i="1"/>
  <c r="C1199" i="1"/>
  <c r="F1198" i="1"/>
  <c r="E1198" i="1"/>
  <c r="D1198" i="1"/>
  <c r="C1198" i="1"/>
  <c r="F1197" i="1"/>
  <c r="E1197" i="1"/>
  <c r="D1197" i="1"/>
  <c r="C1197" i="1"/>
  <c r="F1196" i="1"/>
  <c r="E1196" i="1"/>
  <c r="D1196" i="1"/>
  <c r="C1196" i="1"/>
  <c r="F1195" i="1"/>
  <c r="E1195" i="1"/>
  <c r="D1195" i="1"/>
  <c r="C1195" i="1"/>
  <c r="F1194" i="1"/>
  <c r="E1194" i="1"/>
  <c r="D1194" i="1"/>
  <c r="C1194" i="1"/>
  <c r="F1193" i="1"/>
  <c r="E1193" i="1"/>
  <c r="D1193" i="1"/>
  <c r="C1193" i="1"/>
  <c r="F1192" i="1"/>
  <c r="E1192" i="1"/>
  <c r="D1192" i="1"/>
  <c r="C1192" i="1"/>
  <c r="F1191" i="1"/>
  <c r="E1191" i="1"/>
  <c r="D1191" i="1"/>
  <c r="C1191" i="1"/>
  <c r="F1190" i="1"/>
  <c r="E1190" i="1"/>
  <c r="D1190" i="1"/>
  <c r="C1190" i="1"/>
  <c r="F1189" i="1"/>
  <c r="E1189" i="1"/>
  <c r="D1189" i="1"/>
  <c r="C1189" i="1"/>
  <c r="F1188" i="1"/>
  <c r="E1188" i="1"/>
  <c r="D1188" i="1"/>
  <c r="C1188" i="1"/>
  <c r="F1187" i="1"/>
  <c r="E1187" i="1"/>
  <c r="D1187" i="1"/>
  <c r="C1187" i="1"/>
  <c r="F1186" i="1"/>
  <c r="E1186" i="1"/>
  <c r="D1186" i="1"/>
  <c r="C1186" i="1"/>
  <c r="F1185" i="1"/>
  <c r="E1185" i="1"/>
  <c r="D1185" i="1"/>
  <c r="C1185" i="1"/>
  <c r="F1184" i="1"/>
  <c r="E1184" i="1"/>
  <c r="D1184" i="1"/>
  <c r="C1184" i="1"/>
  <c r="F1183" i="1"/>
  <c r="E1183" i="1"/>
  <c r="D1183" i="1"/>
  <c r="C1183" i="1"/>
  <c r="F1182" i="1"/>
  <c r="E1182" i="1"/>
  <c r="D1182" i="1"/>
  <c r="C1182" i="1"/>
  <c r="F1181" i="1"/>
  <c r="E1181" i="1"/>
  <c r="D1181" i="1"/>
  <c r="C1181" i="1"/>
  <c r="F1180" i="1"/>
  <c r="E1180" i="1"/>
  <c r="D1180" i="1"/>
  <c r="C1180" i="1"/>
  <c r="F1179" i="1"/>
  <c r="E1179" i="1"/>
  <c r="D1179" i="1"/>
  <c r="C1179" i="1"/>
  <c r="F1178" i="1"/>
  <c r="E1178" i="1"/>
  <c r="D1178" i="1"/>
  <c r="C1178" i="1"/>
  <c r="F1177" i="1"/>
  <c r="E1177" i="1"/>
  <c r="D1177" i="1"/>
  <c r="C1177" i="1"/>
  <c r="F1176" i="1"/>
  <c r="E1176" i="1"/>
  <c r="D1176" i="1"/>
  <c r="C1176" i="1"/>
  <c r="F1175" i="1"/>
  <c r="E1175" i="1"/>
  <c r="D1175" i="1"/>
  <c r="C1175" i="1"/>
  <c r="F1174" i="1"/>
  <c r="E1174" i="1"/>
  <c r="D1174" i="1"/>
  <c r="C1174" i="1"/>
  <c r="F1173" i="1"/>
  <c r="E1173" i="1"/>
  <c r="D1173" i="1"/>
  <c r="C1173" i="1"/>
  <c r="F1172" i="1"/>
  <c r="E1172" i="1"/>
  <c r="D1172" i="1"/>
  <c r="C1172" i="1"/>
  <c r="F1171" i="1"/>
  <c r="E1171" i="1"/>
  <c r="D1171" i="1"/>
  <c r="C1171" i="1"/>
  <c r="F1170" i="1"/>
  <c r="E1170" i="1"/>
  <c r="D1170" i="1"/>
  <c r="C1170" i="1"/>
  <c r="F1169" i="1"/>
  <c r="E1169" i="1"/>
  <c r="D1169" i="1"/>
  <c r="C1169" i="1"/>
  <c r="F1168" i="1"/>
  <c r="E1168" i="1"/>
  <c r="D1168" i="1"/>
  <c r="C1168" i="1"/>
  <c r="F1167" i="1"/>
  <c r="E1167" i="1"/>
  <c r="D1167" i="1"/>
  <c r="C1167" i="1"/>
  <c r="F1162" i="1"/>
  <c r="E1162" i="1"/>
  <c r="D1162" i="1"/>
  <c r="C1162" i="1"/>
  <c r="F1161" i="1"/>
  <c r="E1161" i="1"/>
  <c r="D1161" i="1"/>
  <c r="C1161" i="1"/>
  <c r="F1160" i="1"/>
  <c r="E1160" i="1"/>
  <c r="D1160" i="1"/>
  <c r="C1160" i="1"/>
  <c r="F1159" i="1"/>
  <c r="E1159" i="1"/>
  <c r="D1159" i="1"/>
  <c r="C1159" i="1"/>
  <c r="F1158" i="1"/>
  <c r="E1158" i="1"/>
  <c r="D1158" i="1"/>
  <c r="C1158" i="1"/>
  <c r="F1157" i="1"/>
  <c r="E1157" i="1"/>
  <c r="D1157" i="1"/>
  <c r="C1157" i="1"/>
  <c r="F1156" i="1"/>
  <c r="E1156" i="1"/>
  <c r="D1156" i="1"/>
  <c r="C1156" i="1"/>
  <c r="F1155" i="1"/>
  <c r="E1155" i="1"/>
  <c r="D1155" i="1"/>
  <c r="C1155" i="1"/>
  <c r="F1154" i="1"/>
  <c r="E1154" i="1"/>
  <c r="D1154" i="1"/>
  <c r="C1154" i="1"/>
  <c r="F1153" i="1"/>
  <c r="E1153" i="1"/>
  <c r="D1153" i="1"/>
  <c r="C1153" i="1"/>
  <c r="F1152" i="1"/>
  <c r="E1152" i="1"/>
  <c r="D1152" i="1"/>
  <c r="C1152" i="1"/>
  <c r="F1151" i="1"/>
  <c r="E1151" i="1"/>
  <c r="D1151" i="1"/>
  <c r="C1151" i="1"/>
  <c r="F1150" i="1"/>
  <c r="E1150" i="1"/>
  <c r="D1150" i="1"/>
  <c r="C1150" i="1"/>
  <c r="F1149" i="1"/>
  <c r="E1149" i="1"/>
  <c r="D1149" i="1"/>
  <c r="C1149" i="1"/>
  <c r="F1148" i="1"/>
  <c r="E1148" i="1"/>
  <c r="D1148" i="1"/>
  <c r="C1148" i="1"/>
  <c r="F1147" i="1"/>
  <c r="E1147" i="1"/>
  <c r="D1147" i="1"/>
  <c r="C1147" i="1"/>
  <c r="F1146" i="1"/>
  <c r="E1146" i="1"/>
  <c r="D1146" i="1"/>
  <c r="C1146" i="1"/>
  <c r="F1145" i="1"/>
  <c r="E1145" i="1"/>
  <c r="D1145" i="1"/>
  <c r="C1145" i="1"/>
  <c r="F1144" i="1"/>
  <c r="E1144" i="1"/>
  <c r="D1144" i="1"/>
  <c r="C1144" i="1"/>
  <c r="F1143" i="1"/>
  <c r="E1143" i="1"/>
  <c r="D1143" i="1"/>
  <c r="C1143" i="1"/>
  <c r="F1142" i="1"/>
  <c r="E1142" i="1"/>
  <c r="D1142" i="1"/>
  <c r="C1142" i="1"/>
  <c r="F1141" i="1"/>
  <c r="E1141" i="1"/>
  <c r="D1141" i="1"/>
  <c r="C1141" i="1"/>
  <c r="F1140" i="1"/>
  <c r="E1140" i="1"/>
  <c r="D1140" i="1"/>
  <c r="C1140" i="1"/>
  <c r="F1139" i="1"/>
  <c r="E1139" i="1"/>
  <c r="D1139" i="1"/>
  <c r="C1139" i="1"/>
  <c r="F1138" i="1"/>
  <c r="E1138" i="1"/>
  <c r="D1138" i="1"/>
  <c r="C1138" i="1"/>
  <c r="F1137" i="1"/>
  <c r="E1137" i="1"/>
  <c r="D1137" i="1"/>
  <c r="C1137" i="1"/>
  <c r="F1136" i="1"/>
  <c r="E1136" i="1"/>
  <c r="D1136" i="1"/>
  <c r="C1136" i="1"/>
  <c r="F1135" i="1"/>
  <c r="E1135" i="1"/>
  <c r="D1135" i="1"/>
  <c r="C1135" i="1"/>
  <c r="F1134" i="1"/>
  <c r="E1134" i="1"/>
  <c r="D1134" i="1"/>
  <c r="C1134" i="1"/>
  <c r="F1133" i="1"/>
  <c r="E1133" i="1"/>
  <c r="D1133" i="1"/>
  <c r="C1133" i="1"/>
  <c r="F1132" i="1"/>
  <c r="E1132" i="1"/>
  <c r="D1132" i="1"/>
  <c r="C1132" i="1"/>
  <c r="F1131" i="1"/>
  <c r="E1131" i="1"/>
  <c r="D1131" i="1"/>
  <c r="C1131" i="1"/>
  <c r="F1130" i="1"/>
  <c r="E1130" i="1"/>
  <c r="D1130" i="1"/>
  <c r="C1130" i="1"/>
  <c r="F1129" i="1"/>
  <c r="E1129" i="1"/>
  <c r="D1129" i="1"/>
  <c r="C1129" i="1"/>
  <c r="F1128" i="1"/>
  <c r="E1128" i="1"/>
  <c r="D1128" i="1"/>
  <c r="C1128" i="1"/>
  <c r="F1127" i="1"/>
  <c r="E1127" i="1"/>
  <c r="D1127" i="1"/>
  <c r="C1127" i="1"/>
  <c r="F1126" i="1"/>
  <c r="E1126" i="1"/>
  <c r="D1126" i="1"/>
  <c r="C1126" i="1"/>
  <c r="F1125" i="1"/>
  <c r="E1125" i="1"/>
  <c r="D1125" i="1"/>
  <c r="C1125" i="1"/>
  <c r="F1124" i="1"/>
  <c r="E1124" i="1"/>
  <c r="D1124" i="1"/>
  <c r="C1124" i="1"/>
  <c r="F1123" i="1"/>
  <c r="E1123" i="1"/>
  <c r="D1123" i="1"/>
  <c r="C1123" i="1"/>
  <c r="F1122" i="1"/>
  <c r="E1122" i="1"/>
  <c r="D1122" i="1"/>
  <c r="C1122" i="1"/>
  <c r="F1121" i="1"/>
  <c r="E1121" i="1"/>
  <c r="D1121" i="1"/>
  <c r="C1121" i="1"/>
  <c r="F1120" i="1"/>
  <c r="E1120" i="1"/>
  <c r="D1120" i="1"/>
  <c r="C1120" i="1"/>
  <c r="F1119" i="1"/>
  <c r="E1119" i="1"/>
  <c r="D1119" i="1"/>
  <c r="C1119" i="1"/>
  <c r="F1118" i="1"/>
  <c r="E1118" i="1"/>
  <c r="D1118" i="1"/>
  <c r="C1118" i="1"/>
  <c r="F1117" i="1"/>
  <c r="E1117" i="1"/>
  <c r="D1117" i="1"/>
  <c r="C1117" i="1"/>
  <c r="F1116" i="1"/>
  <c r="E1116" i="1"/>
  <c r="D1116" i="1"/>
  <c r="C1116" i="1"/>
  <c r="F1115" i="1"/>
  <c r="E1115" i="1"/>
  <c r="D1115" i="1"/>
  <c r="C1115" i="1"/>
  <c r="F1114" i="1"/>
  <c r="E1114" i="1"/>
  <c r="D1114" i="1"/>
  <c r="C1114" i="1"/>
  <c r="F1113" i="1"/>
  <c r="E1113" i="1"/>
  <c r="D1113" i="1"/>
  <c r="C1113" i="1"/>
  <c r="F1112" i="1"/>
  <c r="E1112" i="1"/>
  <c r="D1112" i="1"/>
  <c r="C1112" i="1"/>
  <c r="F1111" i="1"/>
  <c r="E1111" i="1"/>
  <c r="D1111" i="1"/>
  <c r="C1111" i="1"/>
  <c r="F1110" i="1"/>
  <c r="E1110" i="1"/>
  <c r="D1110" i="1"/>
  <c r="C1110" i="1"/>
  <c r="F1109" i="1"/>
  <c r="E1109" i="1"/>
  <c r="D1109" i="1"/>
  <c r="C1109" i="1"/>
  <c r="F1108" i="1"/>
  <c r="E1108" i="1"/>
  <c r="D1108" i="1"/>
  <c r="C1108" i="1"/>
  <c r="F1107" i="1"/>
  <c r="E1107" i="1"/>
  <c r="D1107" i="1"/>
  <c r="C1107" i="1"/>
  <c r="F1106" i="1"/>
  <c r="E1106" i="1"/>
  <c r="D1106" i="1"/>
  <c r="C1106" i="1"/>
  <c r="F1105" i="1"/>
  <c r="E1105" i="1"/>
  <c r="D1105" i="1"/>
  <c r="C1105" i="1"/>
  <c r="F1104" i="1"/>
  <c r="E1104" i="1"/>
  <c r="D1104" i="1"/>
  <c r="C1104" i="1"/>
  <c r="F1103" i="1"/>
  <c r="E1103" i="1"/>
  <c r="D1103" i="1"/>
  <c r="C1103" i="1"/>
  <c r="F1102" i="1"/>
  <c r="E1102" i="1"/>
  <c r="D1102" i="1"/>
  <c r="C1102" i="1"/>
  <c r="F1101" i="1"/>
  <c r="E1101" i="1"/>
  <c r="D1101" i="1"/>
  <c r="C1101" i="1"/>
  <c r="F1100" i="1"/>
  <c r="E1100" i="1"/>
  <c r="D1100" i="1"/>
  <c r="C1100" i="1"/>
  <c r="F1099" i="1"/>
  <c r="E1099" i="1"/>
  <c r="D1099" i="1"/>
  <c r="C1099" i="1"/>
  <c r="F1098" i="1"/>
  <c r="E1098" i="1"/>
  <c r="D1098" i="1"/>
  <c r="C1098" i="1"/>
  <c r="F1097" i="1"/>
  <c r="E1097" i="1"/>
  <c r="D1097" i="1"/>
  <c r="C1097" i="1"/>
  <c r="F1096" i="1"/>
  <c r="E1096" i="1"/>
  <c r="D1096" i="1"/>
  <c r="C1096" i="1"/>
  <c r="F1095" i="1"/>
  <c r="E1095" i="1"/>
  <c r="D1095" i="1"/>
  <c r="C1095" i="1"/>
  <c r="F1094" i="1"/>
  <c r="E1094" i="1"/>
  <c r="D1094" i="1"/>
  <c r="C1094" i="1"/>
  <c r="F1093" i="1"/>
  <c r="E1093" i="1"/>
  <c r="D1093" i="1"/>
  <c r="C1093" i="1"/>
  <c r="F1092" i="1"/>
  <c r="E1092" i="1"/>
  <c r="D1092" i="1"/>
  <c r="C1092" i="1"/>
  <c r="F1091" i="1"/>
  <c r="E1091" i="1"/>
  <c r="D1091" i="1"/>
  <c r="C1091" i="1"/>
  <c r="F1090" i="1"/>
  <c r="E1090" i="1"/>
  <c r="D1090" i="1"/>
  <c r="C1090" i="1"/>
  <c r="F1089" i="1"/>
  <c r="E1089" i="1"/>
  <c r="D1089" i="1"/>
  <c r="C1089" i="1"/>
  <c r="F1088" i="1"/>
  <c r="E1088" i="1"/>
  <c r="D1088" i="1"/>
  <c r="C1088" i="1"/>
  <c r="F1087" i="1"/>
  <c r="E1087" i="1"/>
  <c r="D1087" i="1"/>
  <c r="C1087" i="1"/>
  <c r="F1086" i="1"/>
  <c r="E1086" i="1"/>
  <c r="D1086" i="1"/>
  <c r="C1086" i="1"/>
  <c r="F1032" i="1"/>
  <c r="E1032" i="1"/>
  <c r="D1032" i="1"/>
  <c r="C1032" i="1"/>
  <c r="F1031" i="1"/>
  <c r="E1031" i="1"/>
  <c r="D1031" i="1"/>
  <c r="C1031" i="1"/>
  <c r="F1030" i="1"/>
  <c r="E1030" i="1"/>
  <c r="D1030" i="1"/>
  <c r="C1030" i="1"/>
  <c r="F1029" i="1"/>
  <c r="E1029" i="1"/>
  <c r="D1029" i="1"/>
  <c r="C1029" i="1"/>
  <c r="F1028" i="1"/>
  <c r="E1028" i="1"/>
  <c r="D1028" i="1"/>
  <c r="C1028" i="1"/>
  <c r="F1027" i="1"/>
  <c r="E1027" i="1"/>
  <c r="D1027" i="1"/>
  <c r="C1027" i="1"/>
  <c r="F1026" i="1"/>
  <c r="E1026" i="1"/>
  <c r="D1026" i="1"/>
  <c r="C1026" i="1"/>
  <c r="F1025" i="1"/>
  <c r="E1025" i="1"/>
  <c r="D1025" i="1"/>
  <c r="C1025" i="1"/>
  <c r="F1024" i="1"/>
  <c r="E1024" i="1"/>
  <c r="D1024" i="1"/>
  <c r="C1024" i="1"/>
  <c r="F1023" i="1"/>
  <c r="E1023" i="1"/>
  <c r="D1023" i="1"/>
  <c r="C1023" i="1"/>
  <c r="F1022" i="1"/>
  <c r="E1022" i="1"/>
  <c r="D1022" i="1"/>
  <c r="C1022" i="1"/>
  <c r="F1021" i="1"/>
  <c r="E1021" i="1"/>
  <c r="D1021" i="1"/>
  <c r="C1021" i="1"/>
  <c r="F1020" i="1"/>
  <c r="E1020" i="1"/>
  <c r="D1020" i="1"/>
  <c r="C1020" i="1"/>
  <c r="F1019" i="1"/>
  <c r="E1019" i="1"/>
  <c r="D1019" i="1"/>
  <c r="C1019" i="1"/>
  <c r="F1018" i="1"/>
  <c r="E1018" i="1"/>
  <c r="D1018" i="1"/>
  <c r="C1018" i="1"/>
  <c r="F1017" i="1"/>
  <c r="E1017" i="1"/>
  <c r="D1017" i="1"/>
  <c r="C1017" i="1"/>
  <c r="F1016" i="1"/>
  <c r="E1016" i="1"/>
  <c r="D1016" i="1"/>
  <c r="C1016" i="1"/>
  <c r="F1015" i="1"/>
  <c r="E1015" i="1"/>
  <c r="D1015" i="1"/>
  <c r="C1015" i="1"/>
  <c r="F1014" i="1"/>
  <c r="E1014" i="1"/>
  <c r="D1014" i="1"/>
  <c r="C1014" i="1"/>
  <c r="F1013" i="1"/>
  <c r="E1013" i="1"/>
  <c r="D1013" i="1"/>
  <c r="C1013" i="1"/>
  <c r="F1012" i="1"/>
  <c r="E1012" i="1"/>
  <c r="D1012" i="1"/>
  <c r="C1012" i="1"/>
  <c r="F1011" i="1"/>
  <c r="E1011" i="1"/>
  <c r="D1011" i="1"/>
  <c r="C1011" i="1"/>
  <c r="F1010" i="1"/>
  <c r="E1010" i="1"/>
  <c r="D1010" i="1"/>
  <c r="C1010" i="1"/>
  <c r="F1009" i="1"/>
  <c r="E1009" i="1"/>
  <c r="D1009" i="1"/>
  <c r="C1009" i="1"/>
  <c r="F1008" i="1"/>
  <c r="E1008" i="1"/>
  <c r="D1008" i="1"/>
  <c r="C1008" i="1"/>
  <c r="F1007" i="1"/>
  <c r="E1007" i="1"/>
  <c r="D1007" i="1"/>
  <c r="C1007" i="1"/>
  <c r="F1006" i="1"/>
  <c r="E1006" i="1"/>
  <c r="D1006" i="1"/>
  <c r="C1006" i="1"/>
  <c r="F1005" i="1"/>
  <c r="E1005" i="1"/>
  <c r="D1005" i="1"/>
  <c r="C1005" i="1"/>
  <c r="F1004" i="1"/>
  <c r="E1004" i="1"/>
  <c r="D1004" i="1"/>
  <c r="C1004" i="1"/>
  <c r="F1003" i="1"/>
  <c r="E1003" i="1"/>
  <c r="D1003" i="1"/>
  <c r="C1003" i="1"/>
  <c r="F1002" i="1"/>
  <c r="E1002" i="1"/>
  <c r="D1002" i="1"/>
  <c r="C1002" i="1"/>
  <c r="F1001" i="1"/>
  <c r="E1001" i="1"/>
  <c r="D1001" i="1"/>
  <c r="C1001" i="1"/>
  <c r="F1000" i="1"/>
  <c r="E1000" i="1"/>
  <c r="D1000" i="1"/>
  <c r="C1000" i="1"/>
  <c r="F999" i="1"/>
  <c r="E999" i="1"/>
  <c r="D999" i="1"/>
  <c r="C999" i="1"/>
  <c r="F998" i="1"/>
  <c r="E998" i="1"/>
  <c r="D998" i="1"/>
  <c r="C998" i="1"/>
  <c r="F997" i="1"/>
  <c r="E997" i="1"/>
  <c r="D997" i="1"/>
  <c r="C997" i="1"/>
  <c r="F996" i="1"/>
  <c r="E996" i="1"/>
  <c r="D996" i="1"/>
  <c r="C996" i="1"/>
  <c r="F995" i="1"/>
  <c r="E995" i="1"/>
  <c r="D995" i="1"/>
  <c r="C995" i="1"/>
  <c r="F994" i="1"/>
  <c r="E994" i="1"/>
  <c r="D994" i="1"/>
  <c r="C994" i="1"/>
  <c r="F993" i="1"/>
  <c r="E993" i="1"/>
  <c r="D993" i="1"/>
  <c r="C993" i="1"/>
  <c r="F992" i="1"/>
  <c r="E992" i="1"/>
  <c r="D992" i="1"/>
  <c r="C992" i="1"/>
  <c r="F991" i="1"/>
  <c r="E991" i="1"/>
  <c r="D991" i="1"/>
  <c r="C991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F980" i="1"/>
  <c r="E980" i="1"/>
  <c r="D980" i="1"/>
  <c r="C980" i="1"/>
  <c r="F979" i="1"/>
  <c r="E979" i="1"/>
  <c r="D979" i="1"/>
  <c r="C979" i="1"/>
  <c r="F978" i="1"/>
  <c r="E978" i="1"/>
  <c r="D978" i="1"/>
  <c r="C978" i="1"/>
  <c r="F977" i="1"/>
  <c r="E977" i="1"/>
  <c r="D977" i="1"/>
  <c r="C977" i="1"/>
  <c r="F976" i="1"/>
  <c r="E976" i="1"/>
  <c r="D976" i="1"/>
  <c r="C976" i="1"/>
  <c r="F975" i="1"/>
  <c r="E975" i="1"/>
  <c r="D975" i="1"/>
  <c r="C975" i="1"/>
  <c r="F974" i="1"/>
  <c r="E974" i="1"/>
  <c r="D974" i="1"/>
  <c r="C974" i="1"/>
  <c r="F973" i="1"/>
  <c r="E973" i="1"/>
  <c r="D973" i="1"/>
  <c r="C973" i="1"/>
  <c r="F972" i="1"/>
  <c r="E972" i="1"/>
  <c r="D972" i="1"/>
  <c r="C972" i="1"/>
  <c r="F971" i="1"/>
  <c r="E971" i="1"/>
  <c r="D971" i="1"/>
  <c r="C971" i="1"/>
  <c r="F970" i="1"/>
  <c r="E970" i="1"/>
  <c r="D970" i="1"/>
  <c r="C970" i="1"/>
  <c r="F969" i="1"/>
  <c r="E969" i="1"/>
  <c r="D969" i="1"/>
  <c r="C969" i="1"/>
  <c r="F968" i="1"/>
  <c r="E968" i="1"/>
  <c r="D968" i="1"/>
  <c r="C968" i="1"/>
  <c r="F967" i="1"/>
  <c r="E967" i="1"/>
  <c r="D967" i="1"/>
  <c r="C967" i="1"/>
  <c r="F966" i="1"/>
  <c r="E966" i="1"/>
  <c r="D966" i="1"/>
  <c r="C966" i="1"/>
  <c r="F965" i="1"/>
  <c r="E965" i="1"/>
  <c r="D965" i="1"/>
  <c r="C965" i="1"/>
  <c r="F964" i="1"/>
  <c r="E964" i="1"/>
  <c r="D964" i="1"/>
  <c r="C964" i="1"/>
  <c r="F963" i="1"/>
  <c r="E963" i="1"/>
  <c r="D963" i="1"/>
  <c r="C963" i="1"/>
  <c r="F962" i="1"/>
  <c r="E962" i="1"/>
  <c r="D962" i="1"/>
  <c r="C962" i="1"/>
  <c r="F961" i="1"/>
  <c r="E961" i="1"/>
  <c r="D961" i="1"/>
  <c r="C961" i="1"/>
  <c r="F960" i="1"/>
  <c r="E960" i="1"/>
  <c r="D960" i="1"/>
  <c r="C960" i="1"/>
  <c r="F959" i="1"/>
  <c r="E959" i="1"/>
  <c r="D959" i="1"/>
  <c r="C959" i="1"/>
  <c r="F958" i="1"/>
  <c r="E958" i="1"/>
  <c r="D958" i="1"/>
  <c r="C958" i="1"/>
  <c r="F957" i="1"/>
  <c r="E957" i="1"/>
  <c r="D957" i="1"/>
  <c r="C957" i="1"/>
  <c r="F956" i="1"/>
  <c r="E956" i="1"/>
  <c r="D956" i="1"/>
  <c r="C956" i="1"/>
  <c r="F955" i="1"/>
  <c r="E955" i="1"/>
  <c r="D955" i="1"/>
  <c r="C955" i="1"/>
  <c r="F954" i="1"/>
  <c r="E954" i="1"/>
  <c r="D954" i="1"/>
  <c r="C954" i="1"/>
  <c r="F953" i="1"/>
  <c r="E953" i="1"/>
  <c r="D953" i="1"/>
  <c r="C953" i="1"/>
  <c r="F952" i="1"/>
  <c r="E952" i="1"/>
  <c r="D952" i="1"/>
  <c r="C952" i="1"/>
  <c r="F951" i="1"/>
  <c r="E951" i="1"/>
  <c r="D951" i="1"/>
  <c r="C951" i="1"/>
  <c r="F950" i="1"/>
  <c r="E950" i="1"/>
  <c r="D950" i="1"/>
  <c r="C950" i="1"/>
  <c r="F949" i="1"/>
  <c r="E949" i="1"/>
  <c r="D949" i="1"/>
  <c r="C949" i="1"/>
  <c r="F948" i="1"/>
  <c r="E948" i="1"/>
  <c r="D948" i="1"/>
  <c r="C948" i="1"/>
  <c r="F947" i="1"/>
  <c r="E947" i="1"/>
  <c r="D947" i="1"/>
  <c r="C947" i="1"/>
  <c r="F946" i="1"/>
  <c r="E946" i="1"/>
  <c r="D946" i="1"/>
  <c r="C946" i="1"/>
  <c r="F945" i="1"/>
  <c r="E945" i="1"/>
  <c r="D945" i="1"/>
  <c r="C945" i="1"/>
  <c r="F944" i="1"/>
  <c r="E944" i="1"/>
  <c r="D944" i="1"/>
  <c r="C944" i="1"/>
  <c r="F943" i="1"/>
  <c r="E943" i="1"/>
  <c r="D943" i="1"/>
  <c r="C943" i="1"/>
  <c r="F942" i="1"/>
  <c r="E942" i="1"/>
  <c r="D942" i="1"/>
  <c r="C942" i="1"/>
  <c r="F941" i="1"/>
  <c r="E941" i="1"/>
  <c r="D941" i="1"/>
  <c r="C941" i="1"/>
  <c r="F940" i="1"/>
  <c r="E940" i="1"/>
  <c r="D940" i="1"/>
  <c r="C940" i="1"/>
  <c r="F939" i="1"/>
  <c r="E939" i="1"/>
  <c r="D939" i="1"/>
  <c r="C939" i="1"/>
  <c r="F938" i="1"/>
  <c r="E938" i="1"/>
  <c r="D938" i="1"/>
  <c r="C938" i="1"/>
  <c r="F937" i="1"/>
  <c r="E937" i="1"/>
  <c r="D937" i="1"/>
  <c r="C937" i="1"/>
  <c r="F936" i="1"/>
  <c r="E936" i="1"/>
  <c r="D936" i="1"/>
  <c r="C936" i="1"/>
  <c r="F935" i="1"/>
  <c r="E935" i="1"/>
  <c r="D935" i="1"/>
  <c r="C935" i="1"/>
  <c r="F934" i="1"/>
  <c r="E934" i="1"/>
  <c r="D934" i="1"/>
  <c r="C934" i="1"/>
  <c r="F933" i="1"/>
  <c r="E933" i="1"/>
  <c r="D933" i="1"/>
  <c r="C933" i="1"/>
  <c r="F932" i="1"/>
  <c r="E932" i="1"/>
  <c r="D932" i="1"/>
  <c r="C932" i="1"/>
  <c r="F931" i="1"/>
  <c r="E931" i="1"/>
  <c r="D931" i="1"/>
  <c r="C931" i="1"/>
  <c r="F930" i="1"/>
  <c r="E930" i="1"/>
  <c r="D930" i="1"/>
  <c r="C930" i="1"/>
  <c r="F929" i="1"/>
  <c r="E929" i="1"/>
  <c r="D929" i="1"/>
  <c r="C929" i="1"/>
  <c r="F928" i="1"/>
  <c r="E928" i="1"/>
  <c r="D928" i="1"/>
  <c r="C928" i="1"/>
  <c r="F927" i="1"/>
  <c r="E927" i="1"/>
  <c r="D927" i="1"/>
  <c r="C927" i="1"/>
  <c r="F926" i="1"/>
  <c r="E926" i="1"/>
  <c r="D926" i="1"/>
  <c r="C926" i="1"/>
  <c r="F925" i="1"/>
  <c r="E925" i="1"/>
  <c r="D925" i="1"/>
  <c r="C925" i="1"/>
  <c r="F924" i="1"/>
  <c r="E924" i="1"/>
  <c r="D924" i="1"/>
  <c r="C924" i="1"/>
  <c r="F923" i="1"/>
  <c r="E923" i="1"/>
  <c r="D923" i="1"/>
  <c r="C923" i="1"/>
  <c r="F922" i="1"/>
  <c r="E922" i="1"/>
  <c r="D922" i="1"/>
  <c r="C922" i="1"/>
  <c r="F921" i="1"/>
  <c r="E921" i="1"/>
  <c r="D921" i="1"/>
  <c r="C921" i="1"/>
  <c r="F920" i="1"/>
  <c r="E920" i="1"/>
  <c r="D920" i="1"/>
  <c r="C920" i="1"/>
  <c r="F919" i="1"/>
  <c r="E919" i="1"/>
  <c r="D919" i="1"/>
  <c r="C919" i="1"/>
  <c r="F918" i="1"/>
  <c r="E918" i="1"/>
  <c r="D918" i="1"/>
  <c r="C918" i="1"/>
  <c r="F917" i="1"/>
  <c r="E917" i="1"/>
  <c r="D917" i="1"/>
  <c r="C917" i="1"/>
  <c r="F916" i="1"/>
  <c r="E916" i="1"/>
  <c r="D916" i="1"/>
  <c r="C916" i="1"/>
  <c r="F915" i="1"/>
  <c r="E915" i="1"/>
  <c r="D915" i="1"/>
  <c r="C915" i="1"/>
  <c r="F914" i="1"/>
  <c r="E914" i="1"/>
  <c r="D914" i="1"/>
  <c r="C914" i="1"/>
  <c r="F913" i="1"/>
  <c r="E913" i="1"/>
  <c r="D913" i="1"/>
  <c r="C913" i="1"/>
  <c r="F912" i="1"/>
  <c r="E912" i="1"/>
  <c r="D912" i="1"/>
  <c r="C912" i="1"/>
  <c r="F911" i="1"/>
  <c r="E911" i="1"/>
  <c r="D911" i="1"/>
  <c r="C911" i="1"/>
  <c r="F910" i="1"/>
  <c r="E910" i="1"/>
  <c r="D910" i="1"/>
  <c r="C910" i="1"/>
  <c r="F909" i="1"/>
  <c r="E909" i="1"/>
  <c r="D909" i="1"/>
  <c r="C909" i="1"/>
  <c r="F908" i="1"/>
  <c r="E908" i="1"/>
  <c r="D908" i="1"/>
  <c r="C908" i="1"/>
  <c r="F907" i="1"/>
  <c r="E907" i="1"/>
  <c r="D907" i="1"/>
  <c r="C907" i="1"/>
  <c r="F906" i="1"/>
  <c r="E906" i="1"/>
  <c r="D906" i="1"/>
  <c r="C906" i="1"/>
  <c r="F905" i="1"/>
  <c r="E905" i="1"/>
  <c r="D905" i="1"/>
  <c r="C905" i="1"/>
  <c r="F904" i="1"/>
  <c r="E904" i="1"/>
  <c r="D904" i="1"/>
  <c r="C904" i="1"/>
  <c r="F903" i="1"/>
  <c r="E903" i="1"/>
  <c r="D903" i="1"/>
  <c r="C903" i="1"/>
  <c r="F902" i="1"/>
  <c r="E902" i="1"/>
  <c r="D902" i="1"/>
  <c r="C902" i="1"/>
  <c r="F901" i="1"/>
  <c r="E901" i="1"/>
  <c r="D901" i="1"/>
  <c r="C901" i="1"/>
  <c r="F900" i="1"/>
  <c r="E900" i="1"/>
  <c r="D900" i="1"/>
  <c r="C900" i="1"/>
  <c r="F899" i="1"/>
  <c r="E899" i="1"/>
  <c r="D899" i="1"/>
  <c r="C899" i="1"/>
  <c r="F898" i="1"/>
  <c r="E898" i="1"/>
  <c r="D898" i="1"/>
  <c r="C898" i="1"/>
  <c r="F897" i="1"/>
  <c r="E897" i="1"/>
  <c r="D897" i="1"/>
  <c r="C897" i="1"/>
  <c r="F896" i="1"/>
  <c r="E896" i="1"/>
  <c r="D896" i="1"/>
  <c r="C896" i="1"/>
  <c r="F895" i="1"/>
  <c r="E895" i="1"/>
  <c r="D895" i="1"/>
  <c r="C895" i="1"/>
  <c r="F894" i="1"/>
  <c r="E894" i="1"/>
  <c r="D894" i="1"/>
  <c r="C894" i="1"/>
  <c r="F893" i="1"/>
  <c r="E893" i="1"/>
  <c r="D893" i="1"/>
  <c r="C893" i="1"/>
  <c r="F892" i="1"/>
  <c r="E892" i="1"/>
  <c r="D892" i="1"/>
  <c r="C892" i="1"/>
  <c r="F891" i="1"/>
  <c r="E891" i="1"/>
  <c r="D891" i="1"/>
  <c r="C891" i="1"/>
  <c r="F890" i="1"/>
  <c r="E890" i="1"/>
  <c r="D890" i="1"/>
  <c r="C890" i="1"/>
  <c r="F889" i="1"/>
  <c r="E889" i="1"/>
  <c r="D889" i="1"/>
  <c r="C889" i="1"/>
  <c r="F888" i="1"/>
  <c r="E888" i="1"/>
  <c r="D888" i="1"/>
  <c r="C888" i="1"/>
  <c r="F887" i="1"/>
  <c r="E887" i="1"/>
  <c r="D887" i="1"/>
  <c r="C887" i="1"/>
  <c r="F886" i="1"/>
  <c r="E886" i="1"/>
  <c r="D886" i="1"/>
  <c r="C886" i="1"/>
  <c r="F885" i="1"/>
  <c r="E885" i="1"/>
  <c r="D885" i="1"/>
  <c r="C885" i="1"/>
  <c r="F884" i="1"/>
  <c r="E884" i="1"/>
  <c r="D884" i="1"/>
  <c r="C884" i="1"/>
  <c r="F883" i="1"/>
  <c r="E883" i="1"/>
  <c r="D883" i="1"/>
  <c r="C883" i="1"/>
  <c r="F882" i="1"/>
  <c r="E882" i="1"/>
  <c r="D882" i="1"/>
  <c r="C882" i="1"/>
  <c r="F881" i="1"/>
  <c r="E881" i="1"/>
  <c r="D881" i="1"/>
  <c r="C881" i="1"/>
  <c r="F880" i="1"/>
  <c r="E880" i="1"/>
  <c r="D880" i="1"/>
  <c r="C880" i="1"/>
  <c r="F879" i="1"/>
  <c r="E879" i="1"/>
  <c r="D879" i="1"/>
  <c r="C879" i="1"/>
  <c r="F878" i="1"/>
  <c r="E878" i="1"/>
  <c r="D878" i="1"/>
  <c r="C878" i="1"/>
  <c r="F877" i="1"/>
  <c r="E877" i="1"/>
  <c r="D877" i="1"/>
  <c r="C877" i="1"/>
  <c r="F876" i="1"/>
  <c r="E876" i="1"/>
  <c r="D876" i="1"/>
  <c r="C876" i="1"/>
  <c r="F875" i="1"/>
  <c r="E875" i="1"/>
  <c r="D875" i="1"/>
  <c r="C875" i="1"/>
  <c r="F874" i="1"/>
  <c r="E874" i="1"/>
  <c r="D874" i="1"/>
  <c r="C874" i="1"/>
  <c r="F873" i="1"/>
  <c r="E873" i="1"/>
  <c r="D873" i="1"/>
  <c r="C873" i="1"/>
  <c r="F872" i="1"/>
  <c r="E872" i="1"/>
  <c r="D872" i="1"/>
  <c r="C872" i="1"/>
  <c r="F871" i="1"/>
  <c r="E871" i="1"/>
  <c r="D871" i="1"/>
  <c r="C871" i="1"/>
  <c r="F870" i="1"/>
  <c r="E870" i="1"/>
  <c r="D870" i="1"/>
  <c r="C870" i="1"/>
  <c r="F869" i="1"/>
  <c r="E869" i="1"/>
  <c r="D869" i="1"/>
  <c r="C869" i="1"/>
  <c r="F868" i="1"/>
  <c r="E868" i="1"/>
  <c r="D868" i="1"/>
  <c r="C868" i="1"/>
  <c r="F867" i="1"/>
  <c r="E867" i="1"/>
  <c r="D867" i="1"/>
  <c r="C867" i="1"/>
  <c r="F866" i="1"/>
  <c r="E866" i="1"/>
  <c r="D866" i="1"/>
  <c r="C866" i="1"/>
  <c r="F865" i="1"/>
  <c r="E865" i="1"/>
  <c r="D865" i="1"/>
  <c r="C865" i="1"/>
  <c r="F864" i="1"/>
  <c r="E864" i="1"/>
  <c r="D864" i="1"/>
  <c r="C864" i="1"/>
  <c r="F863" i="1"/>
  <c r="E863" i="1"/>
  <c r="D863" i="1"/>
  <c r="C863" i="1"/>
  <c r="F862" i="1"/>
  <c r="E862" i="1"/>
  <c r="D862" i="1"/>
  <c r="C862" i="1"/>
  <c r="F861" i="1"/>
  <c r="E861" i="1"/>
  <c r="D861" i="1"/>
  <c r="C861" i="1"/>
  <c r="F860" i="1"/>
  <c r="E860" i="1"/>
  <c r="D860" i="1"/>
  <c r="C860" i="1"/>
  <c r="F859" i="1"/>
  <c r="E859" i="1"/>
  <c r="D859" i="1"/>
  <c r="C859" i="1"/>
  <c r="F858" i="1"/>
  <c r="E858" i="1"/>
  <c r="D858" i="1"/>
  <c r="C858" i="1"/>
  <c r="F857" i="1"/>
  <c r="E857" i="1"/>
  <c r="D857" i="1"/>
  <c r="C857" i="1"/>
  <c r="F856" i="1"/>
  <c r="E856" i="1"/>
  <c r="D856" i="1"/>
  <c r="C856" i="1"/>
  <c r="F855" i="1"/>
  <c r="E855" i="1"/>
  <c r="D855" i="1"/>
  <c r="C855" i="1"/>
  <c r="F854" i="1"/>
  <c r="E854" i="1"/>
  <c r="D854" i="1"/>
  <c r="C854" i="1"/>
  <c r="F853" i="1"/>
  <c r="E853" i="1"/>
  <c r="D853" i="1"/>
  <c r="C853" i="1"/>
  <c r="F852" i="1"/>
  <c r="E852" i="1"/>
  <c r="D852" i="1"/>
  <c r="C852" i="1"/>
  <c r="F851" i="1"/>
  <c r="E851" i="1"/>
  <c r="D851" i="1"/>
  <c r="C851" i="1"/>
  <c r="F850" i="1"/>
  <c r="E850" i="1"/>
  <c r="D850" i="1"/>
  <c r="C850" i="1"/>
  <c r="F849" i="1"/>
  <c r="E849" i="1"/>
  <c r="D849" i="1"/>
  <c r="C849" i="1"/>
  <c r="F848" i="1"/>
  <c r="E848" i="1"/>
  <c r="D848" i="1"/>
  <c r="C848" i="1"/>
  <c r="F847" i="1"/>
  <c r="E847" i="1"/>
  <c r="D847" i="1"/>
  <c r="C847" i="1"/>
  <c r="F846" i="1"/>
  <c r="E846" i="1"/>
  <c r="D846" i="1"/>
  <c r="C846" i="1"/>
  <c r="F845" i="1"/>
  <c r="E845" i="1"/>
  <c r="D845" i="1"/>
  <c r="C845" i="1"/>
  <c r="F844" i="1"/>
  <c r="E844" i="1"/>
  <c r="D844" i="1"/>
  <c r="C844" i="1"/>
  <c r="F843" i="1"/>
  <c r="E843" i="1"/>
  <c r="D843" i="1"/>
  <c r="C843" i="1"/>
  <c r="F842" i="1"/>
  <c r="E842" i="1"/>
  <c r="D842" i="1"/>
  <c r="C842" i="1"/>
  <c r="F841" i="1"/>
  <c r="E841" i="1"/>
  <c r="D841" i="1"/>
  <c r="C841" i="1"/>
  <c r="F840" i="1"/>
  <c r="E840" i="1"/>
  <c r="D840" i="1"/>
  <c r="C840" i="1"/>
  <c r="F839" i="1"/>
  <c r="E839" i="1"/>
  <c r="D839" i="1"/>
  <c r="C839" i="1"/>
  <c r="F838" i="1"/>
  <c r="E838" i="1"/>
  <c r="D838" i="1"/>
  <c r="C838" i="1"/>
  <c r="F837" i="1"/>
  <c r="E837" i="1"/>
  <c r="D837" i="1"/>
  <c r="C837" i="1"/>
  <c r="F836" i="1"/>
  <c r="E836" i="1"/>
  <c r="D836" i="1"/>
  <c r="C836" i="1"/>
  <c r="F835" i="1"/>
  <c r="E835" i="1"/>
  <c r="D835" i="1"/>
  <c r="C835" i="1"/>
  <c r="F834" i="1"/>
  <c r="E834" i="1"/>
  <c r="D834" i="1"/>
  <c r="C834" i="1"/>
  <c r="F833" i="1"/>
  <c r="E833" i="1"/>
  <c r="D833" i="1"/>
  <c r="C833" i="1"/>
  <c r="F832" i="1"/>
  <c r="E832" i="1"/>
  <c r="D832" i="1"/>
  <c r="C832" i="1"/>
  <c r="F831" i="1"/>
  <c r="E831" i="1"/>
  <c r="D831" i="1"/>
  <c r="C831" i="1"/>
  <c r="F830" i="1"/>
  <c r="E830" i="1"/>
  <c r="D830" i="1"/>
  <c r="C830" i="1"/>
  <c r="F829" i="1"/>
  <c r="E829" i="1"/>
  <c r="D829" i="1"/>
  <c r="C829" i="1"/>
  <c r="F828" i="1"/>
  <c r="E828" i="1"/>
  <c r="D828" i="1"/>
  <c r="C828" i="1"/>
  <c r="F827" i="1"/>
  <c r="E827" i="1"/>
  <c r="D827" i="1"/>
  <c r="C827" i="1"/>
  <c r="F826" i="1"/>
  <c r="E826" i="1"/>
  <c r="D826" i="1"/>
  <c r="C826" i="1"/>
  <c r="F825" i="1"/>
  <c r="E825" i="1"/>
  <c r="D825" i="1"/>
  <c r="C825" i="1"/>
  <c r="F824" i="1"/>
  <c r="E824" i="1"/>
  <c r="D824" i="1"/>
  <c r="C824" i="1"/>
  <c r="F823" i="1"/>
  <c r="E823" i="1"/>
  <c r="D823" i="1"/>
  <c r="C823" i="1"/>
  <c r="F822" i="1"/>
  <c r="E822" i="1"/>
  <c r="D822" i="1"/>
  <c r="C822" i="1"/>
  <c r="F821" i="1"/>
  <c r="E821" i="1"/>
  <c r="D821" i="1"/>
  <c r="C821" i="1"/>
  <c r="F820" i="1"/>
  <c r="E820" i="1"/>
  <c r="D820" i="1"/>
  <c r="C820" i="1"/>
  <c r="F819" i="1"/>
  <c r="E819" i="1"/>
  <c r="D819" i="1"/>
  <c r="C819" i="1"/>
  <c r="F818" i="1"/>
  <c r="E818" i="1"/>
  <c r="D818" i="1"/>
  <c r="C818" i="1"/>
  <c r="F817" i="1"/>
  <c r="E817" i="1"/>
  <c r="D817" i="1"/>
  <c r="C817" i="1"/>
  <c r="F816" i="1"/>
  <c r="E816" i="1"/>
  <c r="D816" i="1"/>
  <c r="C816" i="1"/>
  <c r="F815" i="1"/>
  <c r="E815" i="1"/>
  <c r="D815" i="1"/>
  <c r="C815" i="1"/>
  <c r="F814" i="1"/>
  <c r="E814" i="1"/>
  <c r="D814" i="1"/>
  <c r="C814" i="1"/>
  <c r="F813" i="1"/>
  <c r="E813" i="1"/>
  <c r="D813" i="1"/>
  <c r="C813" i="1"/>
  <c r="F812" i="1"/>
  <c r="E812" i="1"/>
  <c r="D812" i="1"/>
  <c r="C812" i="1"/>
  <c r="F811" i="1"/>
  <c r="E811" i="1"/>
  <c r="D811" i="1"/>
  <c r="C811" i="1"/>
  <c r="F810" i="1"/>
  <c r="E810" i="1"/>
  <c r="D810" i="1"/>
  <c r="C810" i="1"/>
  <c r="F809" i="1"/>
  <c r="E809" i="1"/>
  <c r="D809" i="1"/>
  <c r="C809" i="1"/>
  <c r="F808" i="1"/>
  <c r="E808" i="1"/>
  <c r="D808" i="1"/>
  <c r="C808" i="1"/>
  <c r="F807" i="1"/>
  <c r="E807" i="1"/>
  <c r="D807" i="1"/>
  <c r="C807" i="1"/>
  <c r="F806" i="1"/>
  <c r="E806" i="1"/>
  <c r="D806" i="1"/>
  <c r="C806" i="1"/>
  <c r="F805" i="1"/>
  <c r="E805" i="1"/>
  <c r="D805" i="1"/>
  <c r="C805" i="1"/>
  <c r="F804" i="1"/>
  <c r="E804" i="1"/>
  <c r="D804" i="1"/>
  <c r="C804" i="1"/>
  <c r="F803" i="1"/>
  <c r="E803" i="1"/>
  <c r="D803" i="1"/>
  <c r="C803" i="1"/>
  <c r="F802" i="1"/>
  <c r="E802" i="1"/>
  <c r="D802" i="1"/>
  <c r="C802" i="1"/>
  <c r="F801" i="1"/>
  <c r="E801" i="1"/>
  <c r="D801" i="1"/>
  <c r="C801" i="1"/>
  <c r="F800" i="1"/>
  <c r="E800" i="1"/>
  <c r="D800" i="1"/>
  <c r="C800" i="1"/>
  <c r="F799" i="1"/>
  <c r="E799" i="1"/>
  <c r="D799" i="1"/>
  <c r="C799" i="1"/>
  <c r="F798" i="1"/>
  <c r="E798" i="1"/>
  <c r="D798" i="1"/>
  <c r="C798" i="1"/>
  <c r="F797" i="1"/>
  <c r="E797" i="1"/>
  <c r="D797" i="1"/>
  <c r="C797" i="1"/>
  <c r="F796" i="1"/>
  <c r="E796" i="1"/>
  <c r="D796" i="1"/>
  <c r="C796" i="1"/>
  <c r="F795" i="1"/>
  <c r="E795" i="1"/>
  <c r="D795" i="1"/>
  <c r="C795" i="1"/>
  <c r="F794" i="1"/>
  <c r="E794" i="1"/>
  <c r="D794" i="1"/>
  <c r="C794" i="1"/>
  <c r="F793" i="1"/>
  <c r="E793" i="1"/>
  <c r="D793" i="1"/>
  <c r="C793" i="1"/>
  <c r="F792" i="1"/>
  <c r="E792" i="1"/>
  <c r="D792" i="1"/>
  <c r="C792" i="1"/>
  <c r="F791" i="1"/>
  <c r="E791" i="1"/>
  <c r="D791" i="1"/>
  <c r="C791" i="1"/>
  <c r="F790" i="1"/>
  <c r="E790" i="1"/>
  <c r="D790" i="1"/>
  <c r="C790" i="1"/>
  <c r="F789" i="1"/>
  <c r="E789" i="1"/>
  <c r="D789" i="1"/>
  <c r="C789" i="1"/>
  <c r="F788" i="1"/>
  <c r="E788" i="1"/>
  <c r="D788" i="1"/>
  <c r="C788" i="1"/>
  <c r="F787" i="1"/>
  <c r="E787" i="1"/>
  <c r="D787" i="1"/>
  <c r="C787" i="1"/>
  <c r="F786" i="1"/>
  <c r="E786" i="1"/>
  <c r="D786" i="1"/>
  <c r="C786" i="1"/>
  <c r="F785" i="1"/>
  <c r="E785" i="1"/>
  <c r="D785" i="1"/>
  <c r="C785" i="1"/>
  <c r="F784" i="1"/>
  <c r="E784" i="1"/>
  <c r="D784" i="1"/>
  <c r="C784" i="1"/>
  <c r="F783" i="1"/>
  <c r="E783" i="1"/>
  <c r="D783" i="1"/>
  <c r="C783" i="1"/>
  <c r="F782" i="1"/>
  <c r="E782" i="1"/>
  <c r="D782" i="1"/>
  <c r="C782" i="1"/>
  <c r="F781" i="1"/>
  <c r="E781" i="1"/>
  <c r="D781" i="1"/>
  <c r="C781" i="1"/>
  <c r="F780" i="1"/>
  <c r="E780" i="1"/>
  <c r="D780" i="1"/>
  <c r="C780" i="1"/>
  <c r="F779" i="1"/>
  <c r="E779" i="1"/>
  <c r="D779" i="1"/>
  <c r="C779" i="1"/>
  <c r="F778" i="1"/>
  <c r="E778" i="1"/>
  <c r="D778" i="1"/>
  <c r="C778" i="1"/>
  <c r="F777" i="1"/>
  <c r="E777" i="1"/>
  <c r="D777" i="1"/>
  <c r="C777" i="1"/>
  <c r="F776" i="1"/>
  <c r="E776" i="1"/>
  <c r="D776" i="1"/>
  <c r="C776" i="1"/>
  <c r="F775" i="1"/>
  <c r="E775" i="1"/>
  <c r="D775" i="1"/>
  <c r="C775" i="1"/>
  <c r="F774" i="1"/>
  <c r="E774" i="1"/>
  <c r="D774" i="1"/>
  <c r="C774" i="1"/>
  <c r="F773" i="1"/>
  <c r="E773" i="1"/>
  <c r="D773" i="1"/>
  <c r="C773" i="1"/>
  <c r="F772" i="1"/>
  <c r="E772" i="1"/>
  <c r="D772" i="1"/>
  <c r="C772" i="1"/>
  <c r="F771" i="1"/>
  <c r="E771" i="1"/>
  <c r="D771" i="1"/>
  <c r="C771" i="1"/>
  <c r="F770" i="1"/>
  <c r="E770" i="1"/>
  <c r="D770" i="1"/>
  <c r="C770" i="1"/>
  <c r="F769" i="1"/>
  <c r="E769" i="1"/>
  <c r="D769" i="1"/>
  <c r="C769" i="1"/>
  <c r="F768" i="1"/>
  <c r="E768" i="1"/>
  <c r="D768" i="1"/>
  <c r="C768" i="1"/>
  <c r="F767" i="1"/>
  <c r="E767" i="1"/>
  <c r="D767" i="1"/>
  <c r="C767" i="1"/>
  <c r="F766" i="1"/>
  <c r="E766" i="1"/>
  <c r="D766" i="1"/>
  <c r="C766" i="1"/>
  <c r="F765" i="1"/>
  <c r="E765" i="1"/>
  <c r="D765" i="1"/>
  <c r="C765" i="1"/>
  <c r="F764" i="1"/>
  <c r="E764" i="1"/>
  <c r="D764" i="1"/>
  <c r="C764" i="1"/>
  <c r="F763" i="1"/>
  <c r="E763" i="1"/>
  <c r="D763" i="1"/>
  <c r="C763" i="1"/>
  <c r="F762" i="1"/>
  <c r="E762" i="1"/>
  <c r="D762" i="1"/>
  <c r="C762" i="1"/>
  <c r="F761" i="1"/>
  <c r="E761" i="1"/>
  <c r="D761" i="1"/>
  <c r="C761" i="1"/>
  <c r="F760" i="1"/>
  <c r="E760" i="1"/>
  <c r="D760" i="1"/>
  <c r="C760" i="1"/>
  <c r="F759" i="1"/>
  <c r="E759" i="1"/>
  <c r="D759" i="1"/>
  <c r="C759" i="1"/>
  <c r="F758" i="1"/>
  <c r="E758" i="1"/>
  <c r="D758" i="1"/>
  <c r="C758" i="1"/>
  <c r="F757" i="1"/>
  <c r="E757" i="1"/>
  <c r="D757" i="1"/>
  <c r="C757" i="1"/>
  <c r="F756" i="1"/>
  <c r="E756" i="1"/>
  <c r="D756" i="1"/>
  <c r="C756" i="1"/>
  <c r="F755" i="1"/>
  <c r="E755" i="1"/>
  <c r="D755" i="1"/>
  <c r="C755" i="1"/>
  <c r="F754" i="1"/>
  <c r="E754" i="1"/>
  <c r="D754" i="1"/>
  <c r="C754" i="1"/>
  <c r="F753" i="1"/>
  <c r="E753" i="1"/>
  <c r="D753" i="1"/>
  <c r="C753" i="1"/>
  <c r="F752" i="1"/>
  <c r="E752" i="1"/>
  <c r="D752" i="1"/>
  <c r="C752" i="1"/>
  <c r="F751" i="1"/>
  <c r="E751" i="1"/>
  <c r="D751" i="1"/>
  <c r="C751" i="1"/>
  <c r="F750" i="1"/>
  <c r="E750" i="1"/>
  <c r="D750" i="1"/>
  <c r="C750" i="1"/>
  <c r="F749" i="1"/>
  <c r="E749" i="1"/>
  <c r="D749" i="1"/>
  <c r="C749" i="1"/>
  <c r="F748" i="1"/>
  <c r="E748" i="1"/>
  <c r="D748" i="1"/>
  <c r="C748" i="1"/>
  <c r="F747" i="1"/>
  <c r="E747" i="1"/>
  <c r="D747" i="1"/>
  <c r="C747" i="1"/>
  <c r="F746" i="1"/>
  <c r="E746" i="1"/>
  <c r="D746" i="1"/>
  <c r="C746" i="1"/>
  <c r="F745" i="1"/>
  <c r="E745" i="1"/>
  <c r="D745" i="1"/>
  <c r="C745" i="1"/>
  <c r="F744" i="1"/>
  <c r="E744" i="1"/>
  <c r="D744" i="1"/>
  <c r="C744" i="1"/>
  <c r="F743" i="1"/>
  <c r="E743" i="1"/>
  <c r="D743" i="1"/>
  <c r="C743" i="1"/>
  <c r="F742" i="1"/>
  <c r="E742" i="1"/>
  <c r="D742" i="1"/>
  <c r="C742" i="1"/>
  <c r="F741" i="1"/>
  <c r="E741" i="1"/>
  <c r="D741" i="1"/>
  <c r="C741" i="1"/>
  <c r="F740" i="1"/>
  <c r="E740" i="1"/>
  <c r="D740" i="1"/>
  <c r="C740" i="1"/>
  <c r="F739" i="1"/>
  <c r="E739" i="1"/>
  <c r="D739" i="1"/>
  <c r="C739" i="1"/>
  <c r="F738" i="1"/>
  <c r="E738" i="1"/>
  <c r="D738" i="1"/>
  <c r="C738" i="1"/>
  <c r="F737" i="1"/>
  <c r="E737" i="1"/>
  <c r="D737" i="1"/>
  <c r="C737" i="1"/>
  <c r="F736" i="1"/>
  <c r="E736" i="1"/>
  <c r="D736" i="1"/>
  <c r="C736" i="1"/>
  <c r="F735" i="1"/>
  <c r="E735" i="1"/>
  <c r="D735" i="1"/>
  <c r="C735" i="1"/>
  <c r="F734" i="1"/>
  <c r="E734" i="1"/>
  <c r="D734" i="1"/>
  <c r="C734" i="1"/>
  <c r="F733" i="1"/>
  <c r="E733" i="1"/>
  <c r="D733" i="1"/>
  <c r="C733" i="1"/>
  <c r="F732" i="1"/>
  <c r="E732" i="1"/>
  <c r="D732" i="1"/>
  <c r="C732" i="1"/>
  <c r="F731" i="1"/>
  <c r="E731" i="1"/>
  <c r="D731" i="1"/>
  <c r="C731" i="1"/>
  <c r="F730" i="1"/>
  <c r="E730" i="1"/>
  <c r="D730" i="1"/>
  <c r="C730" i="1"/>
  <c r="F729" i="1"/>
  <c r="E729" i="1"/>
  <c r="D729" i="1"/>
  <c r="C729" i="1"/>
  <c r="F728" i="1"/>
  <c r="E728" i="1"/>
  <c r="D728" i="1"/>
  <c r="C728" i="1"/>
  <c r="F727" i="1"/>
  <c r="E727" i="1"/>
  <c r="D727" i="1"/>
  <c r="C727" i="1"/>
  <c r="F726" i="1"/>
  <c r="E726" i="1"/>
  <c r="D726" i="1"/>
  <c r="C726" i="1"/>
  <c r="F725" i="1"/>
  <c r="E725" i="1"/>
  <c r="D725" i="1"/>
  <c r="C725" i="1"/>
  <c r="F724" i="1"/>
  <c r="E724" i="1"/>
  <c r="D724" i="1"/>
  <c r="C724" i="1"/>
  <c r="F723" i="1"/>
  <c r="E723" i="1"/>
  <c r="D723" i="1"/>
  <c r="C723" i="1"/>
  <c r="F722" i="1"/>
  <c r="E722" i="1"/>
  <c r="D722" i="1"/>
  <c r="C722" i="1"/>
  <c r="F721" i="1"/>
  <c r="E721" i="1"/>
  <c r="D721" i="1"/>
  <c r="C721" i="1"/>
  <c r="F720" i="1"/>
  <c r="E720" i="1"/>
  <c r="D720" i="1"/>
  <c r="C720" i="1"/>
  <c r="F719" i="1"/>
  <c r="E719" i="1"/>
  <c r="D719" i="1"/>
  <c r="C719" i="1"/>
  <c r="F718" i="1"/>
  <c r="E718" i="1"/>
  <c r="D718" i="1"/>
  <c r="C718" i="1"/>
  <c r="F717" i="1"/>
  <c r="E717" i="1"/>
  <c r="D717" i="1"/>
  <c r="C717" i="1"/>
  <c r="F716" i="1"/>
  <c r="E716" i="1"/>
  <c r="D716" i="1"/>
  <c r="C716" i="1"/>
  <c r="F715" i="1"/>
  <c r="E715" i="1"/>
  <c r="D715" i="1"/>
  <c r="C715" i="1"/>
  <c r="F714" i="1"/>
  <c r="E714" i="1"/>
  <c r="D714" i="1"/>
  <c r="C714" i="1"/>
  <c r="F713" i="1"/>
  <c r="E713" i="1"/>
  <c r="D713" i="1"/>
  <c r="C713" i="1"/>
  <c r="F712" i="1"/>
  <c r="E712" i="1"/>
  <c r="D712" i="1"/>
  <c r="C712" i="1"/>
  <c r="F711" i="1"/>
  <c r="E711" i="1"/>
  <c r="D711" i="1"/>
  <c r="C711" i="1"/>
  <c r="F710" i="1"/>
  <c r="E710" i="1"/>
  <c r="D710" i="1"/>
  <c r="C710" i="1"/>
  <c r="F709" i="1"/>
  <c r="E709" i="1"/>
  <c r="D709" i="1"/>
  <c r="C709" i="1"/>
  <c r="F708" i="1"/>
  <c r="E708" i="1"/>
  <c r="D708" i="1"/>
  <c r="C708" i="1"/>
  <c r="F707" i="1"/>
  <c r="E707" i="1"/>
  <c r="D707" i="1"/>
  <c r="C707" i="1"/>
  <c r="F706" i="1"/>
  <c r="E706" i="1"/>
  <c r="D706" i="1"/>
  <c r="C706" i="1"/>
  <c r="F705" i="1"/>
  <c r="E705" i="1"/>
  <c r="D705" i="1"/>
  <c r="C705" i="1"/>
  <c r="F704" i="1"/>
  <c r="E704" i="1"/>
  <c r="D704" i="1"/>
  <c r="C704" i="1"/>
  <c r="F703" i="1"/>
  <c r="E703" i="1"/>
  <c r="D703" i="1"/>
  <c r="C703" i="1"/>
  <c r="F702" i="1"/>
  <c r="E702" i="1"/>
  <c r="D702" i="1"/>
  <c r="C702" i="1"/>
  <c r="F701" i="1"/>
  <c r="E701" i="1"/>
  <c r="D701" i="1"/>
  <c r="C701" i="1"/>
  <c r="F700" i="1"/>
  <c r="E700" i="1"/>
  <c r="D700" i="1"/>
  <c r="C700" i="1"/>
  <c r="F699" i="1"/>
  <c r="E699" i="1"/>
  <c r="D699" i="1"/>
  <c r="C699" i="1"/>
  <c r="F698" i="1"/>
  <c r="E698" i="1"/>
  <c r="D698" i="1"/>
  <c r="C698" i="1"/>
  <c r="F697" i="1"/>
  <c r="E697" i="1"/>
  <c r="D697" i="1"/>
  <c r="C697" i="1"/>
  <c r="F696" i="1"/>
  <c r="E696" i="1"/>
  <c r="D696" i="1"/>
  <c r="C696" i="1"/>
  <c r="F695" i="1"/>
  <c r="E695" i="1"/>
  <c r="D695" i="1"/>
  <c r="C695" i="1"/>
  <c r="F694" i="1"/>
  <c r="E694" i="1"/>
  <c r="D694" i="1"/>
  <c r="C694" i="1"/>
  <c r="F693" i="1"/>
  <c r="E693" i="1"/>
  <c r="D693" i="1"/>
  <c r="C693" i="1"/>
  <c r="F692" i="1"/>
  <c r="E692" i="1"/>
  <c r="D692" i="1"/>
  <c r="C692" i="1"/>
  <c r="F691" i="1"/>
  <c r="E691" i="1"/>
  <c r="D691" i="1"/>
  <c r="C691" i="1"/>
  <c r="F690" i="1"/>
  <c r="E690" i="1"/>
  <c r="D690" i="1"/>
  <c r="C690" i="1"/>
  <c r="F689" i="1"/>
  <c r="E689" i="1"/>
  <c r="D689" i="1"/>
  <c r="C689" i="1"/>
  <c r="F688" i="1"/>
  <c r="E688" i="1"/>
  <c r="D688" i="1"/>
  <c r="C688" i="1"/>
  <c r="F687" i="1"/>
  <c r="E687" i="1"/>
  <c r="D687" i="1"/>
  <c r="C687" i="1"/>
  <c r="F686" i="1"/>
  <c r="E686" i="1"/>
  <c r="D686" i="1"/>
  <c r="C686" i="1"/>
  <c r="F685" i="1"/>
  <c r="E685" i="1"/>
  <c r="D685" i="1"/>
  <c r="C685" i="1"/>
  <c r="F684" i="1"/>
  <c r="E684" i="1"/>
  <c r="D684" i="1"/>
  <c r="C684" i="1"/>
  <c r="F683" i="1"/>
  <c r="E683" i="1"/>
  <c r="D683" i="1"/>
  <c r="C683" i="1"/>
  <c r="F682" i="1"/>
  <c r="E682" i="1"/>
  <c r="D682" i="1"/>
  <c r="C682" i="1"/>
  <c r="F681" i="1"/>
  <c r="E681" i="1"/>
  <c r="D681" i="1"/>
  <c r="C681" i="1"/>
  <c r="F680" i="1"/>
  <c r="E680" i="1"/>
  <c r="D680" i="1"/>
  <c r="C680" i="1"/>
  <c r="F679" i="1"/>
  <c r="E679" i="1"/>
  <c r="D679" i="1"/>
  <c r="C679" i="1"/>
  <c r="F678" i="1"/>
  <c r="E678" i="1"/>
  <c r="D678" i="1"/>
  <c r="C678" i="1"/>
  <c r="F677" i="1"/>
  <c r="E677" i="1"/>
  <c r="D677" i="1"/>
  <c r="C677" i="1"/>
  <c r="F676" i="1"/>
  <c r="E676" i="1"/>
  <c r="D676" i="1"/>
  <c r="C676" i="1"/>
  <c r="F675" i="1"/>
  <c r="E675" i="1"/>
  <c r="D675" i="1"/>
  <c r="C675" i="1"/>
  <c r="F674" i="1"/>
  <c r="E674" i="1"/>
  <c r="D674" i="1"/>
  <c r="C674" i="1"/>
  <c r="F673" i="1"/>
  <c r="E673" i="1"/>
  <c r="D673" i="1"/>
  <c r="C673" i="1"/>
  <c r="F672" i="1"/>
  <c r="E672" i="1"/>
  <c r="D672" i="1"/>
  <c r="C672" i="1"/>
  <c r="F671" i="1"/>
  <c r="E671" i="1"/>
  <c r="D671" i="1"/>
  <c r="C671" i="1"/>
  <c r="F670" i="1"/>
  <c r="E670" i="1"/>
  <c r="D670" i="1"/>
  <c r="C670" i="1"/>
  <c r="F669" i="1"/>
  <c r="E669" i="1"/>
  <c r="D669" i="1"/>
  <c r="C669" i="1"/>
  <c r="F668" i="1"/>
  <c r="E668" i="1"/>
  <c r="D668" i="1"/>
  <c r="C668" i="1"/>
  <c r="F667" i="1"/>
  <c r="E667" i="1"/>
  <c r="D667" i="1"/>
  <c r="C667" i="1"/>
  <c r="F666" i="1"/>
  <c r="E666" i="1"/>
  <c r="D666" i="1"/>
  <c r="C666" i="1"/>
  <c r="F665" i="1"/>
  <c r="E665" i="1"/>
  <c r="D665" i="1"/>
  <c r="C665" i="1"/>
  <c r="F664" i="1"/>
  <c r="E664" i="1"/>
  <c r="D664" i="1"/>
  <c r="C664" i="1"/>
  <c r="F663" i="1"/>
  <c r="E663" i="1"/>
  <c r="D663" i="1"/>
  <c r="C663" i="1"/>
  <c r="F662" i="1"/>
  <c r="E662" i="1"/>
  <c r="D662" i="1"/>
  <c r="C662" i="1"/>
  <c r="F661" i="1"/>
  <c r="E661" i="1"/>
  <c r="D661" i="1"/>
  <c r="C661" i="1"/>
  <c r="F660" i="1"/>
  <c r="E660" i="1"/>
  <c r="D660" i="1"/>
  <c r="C660" i="1"/>
  <c r="F659" i="1"/>
  <c r="E659" i="1"/>
  <c r="D659" i="1"/>
  <c r="C659" i="1"/>
  <c r="F658" i="1"/>
  <c r="E658" i="1"/>
  <c r="D658" i="1"/>
  <c r="C658" i="1"/>
  <c r="F657" i="1"/>
  <c r="E657" i="1"/>
  <c r="D657" i="1"/>
  <c r="C657" i="1"/>
  <c r="F656" i="1"/>
  <c r="E656" i="1"/>
  <c r="D656" i="1"/>
  <c r="C656" i="1"/>
  <c r="F655" i="1"/>
  <c r="E655" i="1"/>
  <c r="D655" i="1"/>
  <c r="C655" i="1"/>
  <c r="F654" i="1"/>
  <c r="E654" i="1"/>
  <c r="D654" i="1"/>
  <c r="C654" i="1"/>
  <c r="F653" i="1"/>
  <c r="E653" i="1"/>
  <c r="D653" i="1"/>
  <c r="C653" i="1"/>
  <c r="F652" i="1"/>
  <c r="E652" i="1"/>
  <c r="D652" i="1"/>
  <c r="C652" i="1"/>
  <c r="F651" i="1"/>
  <c r="E651" i="1"/>
  <c r="D651" i="1"/>
  <c r="C651" i="1"/>
  <c r="F650" i="1"/>
  <c r="E650" i="1"/>
  <c r="D650" i="1"/>
  <c r="C650" i="1"/>
  <c r="F649" i="1"/>
  <c r="E649" i="1"/>
  <c r="D649" i="1"/>
  <c r="C649" i="1"/>
  <c r="F648" i="1"/>
  <c r="E648" i="1"/>
  <c r="D648" i="1"/>
  <c r="C648" i="1"/>
  <c r="F647" i="1"/>
  <c r="E647" i="1"/>
  <c r="D647" i="1"/>
  <c r="C647" i="1"/>
  <c r="F646" i="1"/>
  <c r="E646" i="1"/>
  <c r="D646" i="1"/>
  <c r="C646" i="1"/>
  <c r="F645" i="1"/>
  <c r="E645" i="1"/>
  <c r="D645" i="1"/>
  <c r="C645" i="1"/>
  <c r="F644" i="1"/>
  <c r="E644" i="1"/>
  <c r="D644" i="1"/>
  <c r="C644" i="1"/>
  <c r="F643" i="1"/>
  <c r="E643" i="1"/>
  <c r="D643" i="1"/>
  <c r="C643" i="1"/>
  <c r="F642" i="1"/>
  <c r="E642" i="1"/>
  <c r="D642" i="1"/>
  <c r="C642" i="1"/>
  <c r="F641" i="1"/>
  <c r="E641" i="1"/>
  <c r="D641" i="1"/>
  <c r="C641" i="1"/>
  <c r="F640" i="1"/>
  <c r="E640" i="1"/>
  <c r="D640" i="1"/>
  <c r="C640" i="1"/>
  <c r="F639" i="1"/>
  <c r="E639" i="1"/>
  <c r="D639" i="1"/>
  <c r="C639" i="1"/>
  <c r="F638" i="1"/>
  <c r="E638" i="1"/>
  <c r="D638" i="1"/>
  <c r="C638" i="1"/>
  <c r="F637" i="1"/>
  <c r="E637" i="1"/>
  <c r="D637" i="1"/>
  <c r="C637" i="1"/>
  <c r="F636" i="1"/>
  <c r="E636" i="1"/>
  <c r="D636" i="1"/>
  <c r="C636" i="1"/>
  <c r="F635" i="1"/>
  <c r="E635" i="1"/>
  <c r="D635" i="1"/>
  <c r="C635" i="1"/>
  <c r="F634" i="1"/>
  <c r="E634" i="1"/>
  <c r="D634" i="1"/>
  <c r="C634" i="1"/>
  <c r="F633" i="1"/>
  <c r="E633" i="1"/>
  <c r="D633" i="1"/>
  <c r="C633" i="1"/>
  <c r="F632" i="1"/>
  <c r="E632" i="1"/>
  <c r="D632" i="1"/>
  <c r="C632" i="1"/>
  <c r="F631" i="1"/>
  <c r="E631" i="1"/>
  <c r="D631" i="1"/>
  <c r="C631" i="1"/>
  <c r="F630" i="1"/>
  <c r="E630" i="1"/>
  <c r="D630" i="1"/>
  <c r="C630" i="1"/>
  <c r="F629" i="1"/>
  <c r="E629" i="1"/>
  <c r="D629" i="1"/>
  <c r="C629" i="1"/>
  <c r="F628" i="1"/>
  <c r="E628" i="1"/>
  <c r="D628" i="1"/>
  <c r="C628" i="1"/>
  <c r="F627" i="1"/>
  <c r="E627" i="1"/>
  <c r="D627" i="1"/>
  <c r="C627" i="1"/>
  <c r="F626" i="1"/>
  <c r="E626" i="1"/>
  <c r="D626" i="1"/>
  <c r="C626" i="1"/>
  <c r="F625" i="1"/>
  <c r="E625" i="1"/>
  <c r="D625" i="1"/>
  <c r="C625" i="1"/>
  <c r="F624" i="1"/>
  <c r="E624" i="1"/>
  <c r="D624" i="1"/>
  <c r="C624" i="1"/>
  <c r="F623" i="1"/>
  <c r="E623" i="1"/>
  <c r="D623" i="1"/>
  <c r="C623" i="1"/>
  <c r="F622" i="1"/>
  <c r="E622" i="1"/>
  <c r="D622" i="1"/>
  <c r="C622" i="1"/>
  <c r="F621" i="1"/>
  <c r="E621" i="1"/>
  <c r="D621" i="1"/>
  <c r="C621" i="1"/>
  <c r="F620" i="1"/>
  <c r="E620" i="1"/>
  <c r="D620" i="1"/>
  <c r="C620" i="1"/>
  <c r="F619" i="1"/>
  <c r="E619" i="1"/>
  <c r="D619" i="1"/>
  <c r="C619" i="1"/>
  <c r="F618" i="1"/>
  <c r="E618" i="1"/>
  <c r="D618" i="1"/>
  <c r="C618" i="1"/>
  <c r="F617" i="1"/>
  <c r="E617" i="1"/>
  <c r="D617" i="1"/>
  <c r="C617" i="1"/>
  <c r="F616" i="1"/>
  <c r="E616" i="1"/>
  <c r="D616" i="1"/>
  <c r="C616" i="1"/>
  <c r="F615" i="1"/>
  <c r="E615" i="1"/>
  <c r="D615" i="1"/>
  <c r="C615" i="1"/>
  <c r="F614" i="1"/>
  <c r="E614" i="1"/>
  <c r="D614" i="1"/>
  <c r="C614" i="1"/>
  <c r="F613" i="1"/>
  <c r="E613" i="1"/>
  <c r="D613" i="1"/>
  <c r="C613" i="1"/>
  <c r="F612" i="1"/>
  <c r="E612" i="1"/>
  <c r="D612" i="1"/>
  <c r="C612" i="1"/>
  <c r="F611" i="1"/>
  <c r="E611" i="1"/>
  <c r="D611" i="1"/>
  <c r="C611" i="1"/>
  <c r="F610" i="1"/>
  <c r="E610" i="1"/>
  <c r="D610" i="1"/>
  <c r="C610" i="1"/>
  <c r="F609" i="1"/>
  <c r="E609" i="1"/>
  <c r="D609" i="1"/>
  <c r="C609" i="1"/>
  <c r="F608" i="1"/>
  <c r="E608" i="1"/>
  <c r="D608" i="1"/>
  <c r="C608" i="1"/>
  <c r="F607" i="1"/>
  <c r="E607" i="1"/>
  <c r="D607" i="1"/>
  <c r="C607" i="1"/>
  <c r="F606" i="1"/>
  <c r="E606" i="1"/>
  <c r="D606" i="1"/>
  <c r="C606" i="1"/>
  <c r="F605" i="1"/>
  <c r="E605" i="1"/>
  <c r="D605" i="1"/>
  <c r="C605" i="1"/>
  <c r="F604" i="1"/>
  <c r="E604" i="1"/>
  <c r="D604" i="1"/>
  <c r="C604" i="1"/>
  <c r="F603" i="1"/>
  <c r="E603" i="1"/>
  <c r="D603" i="1"/>
  <c r="C603" i="1"/>
  <c r="F602" i="1"/>
  <c r="E602" i="1"/>
  <c r="D602" i="1"/>
  <c r="C602" i="1"/>
  <c r="F601" i="1"/>
  <c r="E601" i="1"/>
  <c r="D601" i="1"/>
  <c r="C601" i="1"/>
  <c r="F600" i="1"/>
  <c r="E600" i="1"/>
  <c r="D600" i="1"/>
  <c r="C600" i="1"/>
  <c r="F599" i="1"/>
  <c r="E599" i="1"/>
  <c r="D599" i="1"/>
  <c r="C599" i="1"/>
  <c r="F598" i="1"/>
  <c r="E598" i="1"/>
  <c r="D598" i="1"/>
  <c r="C598" i="1"/>
  <c r="F597" i="1"/>
  <c r="E597" i="1"/>
  <c r="D597" i="1"/>
  <c r="C597" i="1"/>
  <c r="F596" i="1"/>
  <c r="E596" i="1"/>
  <c r="D596" i="1"/>
  <c r="C596" i="1"/>
  <c r="F595" i="1"/>
  <c r="E595" i="1"/>
  <c r="D595" i="1"/>
  <c r="C595" i="1"/>
  <c r="F594" i="1"/>
  <c r="E594" i="1"/>
  <c r="D594" i="1"/>
  <c r="C594" i="1"/>
  <c r="F593" i="1"/>
  <c r="E593" i="1"/>
  <c r="D593" i="1"/>
  <c r="C593" i="1"/>
  <c r="F592" i="1"/>
  <c r="E592" i="1"/>
  <c r="D592" i="1"/>
  <c r="C592" i="1"/>
  <c r="F591" i="1"/>
  <c r="E591" i="1"/>
  <c r="D591" i="1"/>
  <c r="C591" i="1"/>
  <c r="F590" i="1"/>
  <c r="E590" i="1"/>
  <c r="D590" i="1"/>
  <c r="C590" i="1"/>
  <c r="F589" i="1"/>
  <c r="E589" i="1"/>
  <c r="D589" i="1"/>
  <c r="C589" i="1"/>
  <c r="F588" i="1"/>
  <c r="E588" i="1"/>
  <c r="D588" i="1"/>
  <c r="C588" i="1"/>
  <c r="F587" i="1"/>
  <c r="E587" i="1"/>
  <c r="D587" i="1"/>
  <c r="C587" i="1"/>
  <c r="F586" i="1"/>
  <c r="E586" i="1"/>
  <c r="D586" i="1"/>
  <c r="C586" i="1"/>
  <c r="F585" i="1"/>
  <c r="E585" i="1"/>
  <c r="D585" i="1"/>
  <c r="C585" i="1"/>
  <c r="F584" i="1"/>
  <c r="E584" i="1"/>
  <c r="D584" i="1"/>
  <c r="C584" i="1"/>
  <c r="F583" i="1"/>
  <c r="E583" i="1"/>
  <c r="D583" i="1"/>
  <c r="C583" i="1"/>
  <c r="F582" i="1"/>
  <c r="E582" i="1"/>
  <c r="D582" i="1"/>
  <c r="C582" i="1"/>
  <c r="F581" i="1"/>
  <c r="E581" i="1"/>
  <c r="D581" i="1"/>
  <c r="C581" i="1"/>
  <c r="F580" i="1"/>
  <c r="E580" i="1"/>
  <c r="D580" i="1"/>
  <c r="C580" i="1"/>
  <c r="F579" i="1"/>
  <c r="E579" i="1"/>
  <c r="D579" i="1"/>
  <c r="C579" i="1"/>
  <c r="F578" i="1"/>
  <c r="E578" i="1"/>
  <c r="D578" i="1"/>
  <c r="C578" i="1"/>
  <c r="F577" i="1"/>
  <c r="E577" i="1"/>
  <c r="D577" i="1"/>
  <c r="C577" i="1"/>
  <c r="F576" i="1"/>
  <c r="E576" i="1"/>
  <c r="D576" i="1"/>
  <c r="C576" i="1"/>
  <c r="F575" i="1"/>
  <c r="E575" i="1"/>
  <c r="D575" i="1"/>
  <c r="C575" i="1"/>
  <c r="F574" i="1"/>
  <c r="E574" i="1"/>
  <c r="D574" i="1"/>
  <c r="C574" i="1"/>
  <c r="F573" i="1"/>
  <c r="E573" i="1"/>
  <c r="D573" i="1"/>
  <c r="C573" i="1"/>
  <c r="F572" i="1"/>
  <c r="E572" i="1"/>
  <c r="D572" i="1"/>
  <c r="C572" i="1"/>
  <c r="F571" i="1"/>
  <c r="E571" i="1"/>
  <c r="D571" i="1"/>
  <c r="C571" i="1"/>
  <c r="F570" i="1"/>
  <c r="E570" i="1"/>
  <c r="D570" i="1"/>
  <c r="C570" i="1"/>
  <c r="F569" i="1"/>
  <c r="E569" i="1"/>
  <c r="D569" i="1"/>
  <c r="C569" i="1"/>
  <c r="F568" i="1"/>
  <c r="E568" i="1"/>
  <c r="D568" i="1"/>
  <c r="C568" i="1"/>
  <c r="F567" i="1"/>
  <c r="E567" i="1"/>
  <c r="D567" i="1"/>
  <c r="C567" i="1"/>
  <c r="F566" i="1"/>
  <c r="E566" i="1"/>
  <c r="D566" i="1"/>
  <c r="C566" i="1"/>
  <c r="F500" i="1"/>
  <c r="E500" i="1"/>
  <c r="D500" i="1"/>
  <c r="C500" i="1"/>
  <c r="F499" i="1"/>
  <c r="E499" i="1"/>
  <c r="D499" i="1"/>
  <c r="C499" i="1"/>
  <c r="F498" i="1"/>
  <c r="E498" i="1"/>
  <c r="D498" i="1"/>
  <c r="C498" i="1"/>
  <c r="F497" i="1"/>
  <c r="E497" i="1"/>
  <c r="D497" i="1"/>
  <c r="C497" i="1"/>
  <c r="F496" i="1"/>
  <c r="E496" i="1"/>
  <c r="D496" i="1"/>
  <c r="C496" i="1"/>
  <c r="F495" i="1"/>
  <c r="E495" i="1"/>
  <c r="D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E491" i="1"/>
  <c r="D491" i="1"/>
  <c r="C491" i="1"/>
  <c r="F490" i="1"/>
  <c r="E490" i="1"/>
  <c r="D490" i="1"/>
  <c r="C490" i="1"/>
  <c r="F489" i="1"/>
  <c r="E489" i="1"/>
  <c r="D489" i="1"/>
  <c r="C489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E483" i="1"/>
  <c r="D483" i="1"/>
  <c r="C483" i="1"/>
  <c r="F482" i="1"/>
  <c r="E482" i="1"/>
  <c r="D482" i="1"/>
  <c r="C482" i="1"/>
  <c r="F481" i="1"/>
  <c r="E481" i="1"/>
  <c r="D481" i="1"/>
  <c r="C481" i="1"/>
  <c r="F480" i="1"/>
  <c r="E480" i="1"/>
  <c r="D480" i="1"/>
  <c r="C480" i="1"/>
  <c r="F479" i="1"/>
  <c r="E479" i="1"/>
  <c r="D479" i="1"/>
  <c r="C479" i="1"/>
  <c r="F478" i="1"/>
  <c r="E478" i="1"/>
  <c r="D478" i="1"/>
  <c r="C478" i="1"/>
  <c r="F477" i="1"/>
  <c r="E477" i="1"/>
  <c r="D477" i="1"/>
  <c r="C477" i="1"/>
  <c r="F476" i="1"/>
  <c r="E476" i="1"/>
  <c r="D476" i="1"/>
  <c r="C476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E466" i="1"/>
  <c r="D466" i="1"/>
  <c r="C466" i="1"/>
  <c r="F465" i="1"/>
  <c r="E465" i="1"/>
  <c r="D465" i="1"/>
  <c r="C465" i="1"/>
  <c r="F464" i="1"/>
  <c r="E464" i="1"/>
  <c r="D464" i="1"/>
  <c r="C464" i="1"/>
  <c r="F463" i="1"/>
  <c r="E463" i="1"/>
  <c r="D463" i="1"/>
  <c r="C463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2" i="1"/>
  <c r="E452" i="1"/>
  <c r="D452" i="1"/>
  <c r="C452" i="1"/>
  <c r="F451" i="1"/>
  <c r="E451" i="1"/>
  <c r="D451" i="1"/>
  <c r="C451" i="1"/>
  <c r="F450" i="1"/>
  <c r="E450" i="1"/>
  <c r="D450" i="1"/>
  <c r="C450" i="1"/>
  <c r="F449" i="1"/>
  <c r="E449" i="1"/>
  <c r="D449" i="1"/>
  <c r="C449" i="1"/>
  <c r="F448" i="1"/>
  <c r="E448" i="1"/>
  <c r="D448" i="1"/>
  <c r="C448" i="1"/>
  <c r="F447" i="1"/>
  <c r="E447" i="1"/>
  <c r="D447" i="1"/>
  <c r="C447" i="1"/>
  <c r="F446" i="1"/>
  <c r="E446" i="1"/>
  <c r="D446" i="1"/>
  <c r="C446" i="1"/>
  <c r="F445" i="1"/>
  <c r="E445" i="1"/>
  <c r="D445" i="1"/>
  <c r="C445" i="1"/>
  <c r="F444" i="1"/>
  <c r="E444" i="1"/>
  <c r="D444" i="1"/>
  <c r="C444" i="1"/>
  <c r="F443" i="1"/>
  <c r="E443" i="1"/>
  <c r="D443" i="1"/>
  <c r="C443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E437" i="1"/>
  <c r="D437" i="1"/>
  <c r="C437" i="1"/>
  <c r="F436" i="1"/>
  <c r="E436" i="1"/>
  <c r="D436" i="1"/>
  <c r="C436" i="1"/>
  <c r="F435" i="1"/>
  <c r="E435" i="1"/>
  <c r="D435" i="1"/>
  <c r="C435" i="1"/>
  <c r="F434" i="1"/>
  <c r="E434" i="1"/>
  <c r="D434" i="1"/>
  <c r="C434" i="1"/>
  <c r="F433" i="1"/>
  <c r="E433" i="1"/>
  <c r="D433" i="1"/>
  <c r="C433" i="1"/>
  <c r="F432" i="1"/>
  <c r="E432" i="1"/>
  <c r="D432" i="1"/>
  <c r="C432" i="1"/>
  <c r="F431" i="1"/>
  <c r="E431" i="1"/>
  <c r="D431" i="1"/>
  <c r="C431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E427" i="1"/>
  <c r="D427" i="1"/>
  <c r="C427" i="1"/>
  <c r="F426" i="1"/>
  <c r="E426" i="1"/>
  <c r="D426" i="1"/>
  <c r="C426" i="1"/>
  <c r="F425" i="1"/>
  <c r="E425" i="1"/>
  <c r="D425" i="1"/>
  <c r="C425" i="1"/>
  <c r="F424" i="1"/>
  <c r="E424" i="1"/>
  <c r="D424" i="1"/>
  <c r="C424" i="1"/>
  <c r="F423" i="1"/>
  <c r="E423" i="1"/>
  <c r="D423" i="1"/>
  <c r="C423" i="1"/>
  <c r="F422" i="1"/>
  <c r="E422" i="1"/>
  <c r="D422" i="1"/>
  <c r="C422" i="1"/>
  <c r="F421" i="1"/>
  <c r="E421" i="1"/>
  <c r="D421" i="1"/>
  <c r="C421" i="1"/>
  <c r="F420" i="1"/>
  <c r="E420" i="1"/>
  <c r="D420" i="1"/>
  <c r="C420" i="1"/>
  <c r="F419" i="1"/>
  <c r="E419" i="1"/>
  <c r="D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4" i="1"/>
  <c r="E414" i="1"/>
  <c r="D414" i="1"/>
  <c r="C414" i="1"/>
  <c r="F413" i="1"/>
  <c r="E413" i="1"/>
  <c r="D413" i="1"/>
  <c r="C413" i="1"/>
  <c r="F412" i="1"/>
  <c r="E412" i="1"/>
  <c r="D412" i="1"/>
  <c r="C412" i="1"/>
  <c r="F411" i="1"/>
  <c r="E411" i="1"/>
  <c r="D411" i="1"/>
  <c r="C411" i="1"/>
  <c r="F410" i="1"/>
  <c r="E410" i="1"/>
  <c r="D410" i="1"/>
  <c r="C410" i="1"/>
  <c r="F409" i="1"/>
  <c r="E409" i="1"/>
  <c r="D409" i="1"/>
  <c r="C409" i="1"/>
  <c r="F408" i="1"/>
  <c r="E408" i="1"/>
  <c r="D408" i="1"/>
  <c r="C408" i="1"/>
  <c r="F407" i="1"/>
  <c r="E407" i="1"/>
  <c r="D407" i="1"/>
  <c r="C407" i="1"/>
  <c r="F406" i="1"/>
  <c r="E406" i="1"/>
  <c r="D406" i="1"/>
  <c r="C406" i="1"/>
  <c r="F405" i="1"/>
  <c r="E405" i="1"/>
  <c r="D405" i="1"/>
  <c r="C405" i="1"/>
  <c r="F404" i="1"/>
  <c r="E404" i="1"/>
  <c r="D404" i="1"/>
  <c r="C404" i="1"/>
  <c r="F403" i="1"/>
  <c r="E403" i="1"/>
  <c r="D403" i="1"/>
  <c r="C403" i="1"/>
  <c r="F402" i="1"/>
  <c r="E402" i="1"/>
  <c r="D402" i="1"/>
  <c r="C402" i="1"/>
  <c r="F401" i="1"/>
  <c r="E401" i="1"/>
  <c r="D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F395" i="1"/>
  <c r="E395" i="1"/>
  <c r="D395" i="1"/>
  <c r="C395" i="1"/>
  <c r="F394" i="1"/>
  <c r="E394" i="1"/>
  <c r="D394" i="1"/>
  <c r="C394" i="1"/>
  <c r="F393" i="1"/>
  <c r="E393" i="1"/>
  <c r="D393" i="1"/>
  <c r="C393" i="1"/>
  <c r="F392" i="1"/>
  <c r="E392" i="1"/>
  <c r="D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E386" i="1"/>
  <c r="D386" i="1"/>
  <c r="C386" i="1"/>
  <c r="F385" i="1"/>
  <c r="E385" i="1"/>
  <c r="D385" i="1"/>
  <c r="C385" i="1"/>
  <c r="F384" i="1"/>
  <c r="E384" i="1"/>
  <c r="D384" i="1"/>
  <c r="C384" i="1"/>
  <c r="F383" i="1"/>
  <c r="E383" i="1"/>
  <c r="D383" i="1"/>
  <c r="C383" i="1"/>
  <c r="F382" i="1"/>
  <c r="E382" i="1"/>
  <c r="D382" i="1"/>
  <c r="C382" i="1"/>
  <c r="F381" i="1"/>
  <c r="E381" i="1"/>
  <c r="D381" i="1"/>
  <c r="C381" i="1"/>
  <c r="F380" i="1"/>
  <c r="E380" i="1"/>
  <c r="D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70" i="1"/>
  <c r="E370" i="1"/>
  <c r="D370" i="1"/>
  <c r="C370" i="1"/>
  <c r="F369" i="1"/>
  <c r="E369" i="1"/>
  <c r="D369" i="1"/>
  <c r="C369" i="1"/>
  <c r="F368" i="1"/>
  <c r="E368" i="1"/>
  <c r="D368" i="1"/>
  <c r="C368" i="1"/>
  <c r="F367" i="1"/>
  <c r="E367" i="1"/>
  <c r="D367" i="1"/>
  <c r="C367" i="1"/>
  <c r="F366" i="1"/>
  <c r="E366" i="1"/>
  <c r="D366" i="1"/>
  <c r="C366" i="1"/>
  <c r="F365" i="1"/>
  <c r="E365" i="1"/>
  <c r="D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E359" i="1"/>
  <c r="D359" i="1"/>
  <c r="C359" i="1"/>
  <c r="F358" i="1"/>
  <c r="E358" i="1"/>
  <c r="D358" i="1"/>
  <c r="C358" i="1"/>
  <c r="F357" i="1"/>
  <c r="E357" i="1"/>
  <c r="D357" i="1"/>
  <c r="C357" i="1"/>
  <c r="F356" i="1"/>
  <c r="E356" i="1"/>
  <c r="D356" i="1"/>
  <c r="C356" i="1"/>
  <c r="F355" i="1"/>
  <c r="E355" i="1"/>
  <c r="D355" i="1"/>
  <c r="C355" i="1"/>
  <c r="F354" i="1"/>
  <c r="E354" i="1"/>
  <c r="D354" i="1"/>
  <c r="C354" i="1"/>
  <c r="F353" i="1"/>
  <c r="E353" i="1"/>
  <c r="D353" i="1"/>
  <c r="C353" i="1"/>
  <c r="F352" i="1"/>
  <c r="E352" i="1"/>
  <c r="D352" i="1"/>
  <c r="C352" i="1"/>
  <c r="F351" i="1"/>
  <c r="E351" i="1"/>
  <c r="D351" i="1"/>
  <c r="C351" i="1"/>
  <c r="F322" i="1"/>
  <c r="E322" i="1"/>
  <c r="D322" i="1"/>
  <c r="C322" i="1"/>
  <c r="F321" i="1"/>
  <c r="E321" i="1"/>
  <c r="D321" i="1"/>
  <c r="C321" i="1"/>
  <c r="F320" i="1"/>
  <c r="E320" i="1"/>
  <c r="D320" i="1"/>
  <c r="C320" i="1"/>
  <c r="F319" i="1"/>
  <c r="E319" i="1"/>
  <c r="D319" i="1"/>
  <c r="C319" i="1"/>
  <c r="F318" i="1"/>
  <c r="E318" i="1"/>
  <c r="D318" i="1"/>
  <c r="C318" i="1"/>
  <c r="F317" i="1"/>
  <c r="E317" i="1"/>
  <c r="D317" i="1"/>
  <c r="C317" i="1"/>
  <c r="F316" i="1"/>
  <c r="E316" i="1"/>
  <c r="D316" i="1"/>
  <c r="C316" i="1"/>
  <c r="F315" i="1"/>
  <c r="E315" i="1"/>
  <c r="D315" i="1"/>
  <c r="C315" i="1"/>
  <c r="F314" i="1"/>
  <c r="E314" i="1"/>
  <c r="D314" i="1"/>
  <c r="C314" i="1"/>
  <c r="F313" i="1"/>
  <c r="E313" i="1"/>
  <c r="D313" i="1"/>
  <c r="C313" i="1"/>
  <c r="F312" i="1"/>
  <c r="E312" i="1"/>
  <c r="D312" i="1"/>
  <c r="C312" i="1"/>
  <c r="F311" i="1"/>
  <c r="E311" i="1"/>
  <c r="D311" i="1"/>
  <c r="C311" i="1"/>
  <c r="F310" i="1"/>
  <c r="E310" i="1"/>
  <c r="D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E304" i="1"/>
  <c r="D304" i="1"/>
  <c r="C304" i="1"/>
  <c r="F303" i="1"/>
  <c r="E303" i="1"/>
  <c r="D303" i="1"/>
  <c r="C303" i="1"/>
  <c r="F302" i="1"/>
  <c r="E302" i="1"/>
  <c r="D302" i="1"/>
  <c r="C302" i="1"/>
  <c r="F301" i="1"/>
  <c r="E301" i="1"/>
  <c r="D301" i="1"/>
  <c r="C301" i="1"/>
  <c r="F300" i="1"/>
  <c r="E300" i="1"/>
  <c r="D300" i="1"/>
  <c r="C300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89" i="1"/>
  <c r="E289" i="1"/>
  <c r="D289" i="1"/>
  <c r="C289" i="1"/>
  <c r="F288" i="1"/>
  <c r="E288" i="1"/>
  <c r="D288" i="1"/>
  <c r="C288" i="1"/>
  <c r="F287" i="1"/>
  <c r="E287" i="1"/>
  <c r="D287" i="1"/>
  <c r="C287" i="1"/>
  <c r="F286" i="1"/>
  <c r="E286" i="1"/>
  <c r="D286" i="1"/>
  <c r="C286" i="1"/>
  <c r="F285" i="1"/>
  <c r="E285" i="1"/>
  <c r="D285" i="1"/>
  <c r="C285" i="1"/>
  <c r="F284" i="1"/>
  <c r="E284" i="1"/>
  <c r="D284" i="1"/>
  <c r="C284" i="1"/>
  <c r="F283" i="1"/>
  <c r="E283" i="1"/>
  <c r="D283" i="1"/>
  <c r="C283" i="1"/>
  <c r="F282" i="1"/>
  <c r="E282" i="1"/>
  <c r="D282" i="1"/>
  <c r="C282" i="1"/>
  <c r="F281" i="1"/>
  <c r="E281" i="1"/>
  <c r="D281" i="1"/>
  <c r="C281" i="1"/>
  <c r="F280" i="1"/>
  <c r="E280" i="1"/>
  <c r="D280" i="1"/>
  <c r="C280" i="1"/>
  <c r="F279" i="1"/>
  <c r="E279" i="1"/>
  <c r="D279" i="1"/>
  <c r="C279" i="1"/>
  <c r="F278" i="1"/>
  <c r="E278" i="1"/>
  <c r="D278" i="1"/>
  <c r="C278" i="1"/>
  <c r="F277" i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68" i="1"/>
  <c r="E268" i="1"/>
  <c r="D268" i="1"/>
  <c r="C268" i="1"/>
  <c r="F267" i="1"/>
  <c r="E267" i="1"/>
  <c r="D267" i="1"/>
  <c r="C267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</calcChain>
</file>

<file path=xl/sharedStrings.xml><?xml version="1.0" encoding="utf-8"?>
<sst xmlns="http://schemas.openxmlformats.org/spreadsheetml/2006/main" count="7490" uniqueCount="689">
  <si>
    <t>ANEXO No. 68</t>
  </si>
  <si>
    <t>TOTAL 1,304 BIENES MUEBLES CAPITALIZABLES MAYOR (BMC)</t>
  </si>
  <si>
    <t xml:space="preserve">No. </t>
  </si>
  <si>
    <t>ID Usuario</t>
  </si>
  <si>
    <t>Unidad de Informacion</t>
  </si>
  <si>
    <t>Id Bien Capitalizable/No Capt</t>
  </si>
  <si>
    <t>ID Activo</t>
  </si>
  <si>
    <t>Descripcion</t>
  </si>
  <si>
    <t>Tipo de Bien Cap No Cap</t>
  </si>
  <si>
    <t>Unidad de Medida</t>
  </si>
  <si>
    <t>Cantidad</t>
  </si>
  <si>
    <t>Estado de Enajenación</t>
  </si>
  <si>
    <t xml:space="preserve">UBICACIÓN </t>
  </si>
  <si>
    <t xml:space="preserve">VALOR DE RESCATE </t>
  </si>
  <si>
    <t xml:space="preserve">AFILIACIÓN </t>
  </si>
  <si>
    <t>149001</t>
  </si>
  <si>
    <t>14.149001/2024.01573/BC.O.</t>
  </si>
  <si>
    <t>1988043088</t>
  </si>
  <si>
    <t>ESCRITORIO/METALICO DE UN PEDESTAL</t>
  </si>
  <si>
    <t>Capitalizable</t>
  </si>
  <si>
    <t>Pieza</t>
  </si>
  <si>
    <t>Comprometido</t>
  </si>
  <si>
    <t xml:space="preserve">BODEGA DE ENAJENACIONES </t>
  </si>
  <si>
    <t>14.149001/2024.01575/BC.O.</t>
  </si>
  <si>
    <t>1989074745</t>
  </si>
  <si>
    <t>14.149001/2024.01576/BC.O.</t>
  </si>
  <si>
    <t>1989074940</t>
  </si>
  <si>
    <t>14.149001/2024.01571/BC.O.</t>
  </si>
  <si>
    <t>1989111110</t>
  </si>
  <si>
    <t>14.149001/2024.01568/BC.O.</t>
  </si>
  <si>
    <t>1989125662</t>
  </si>
  <si>
    <t>14.149001/2024.01569/BC.O.</t>
  </si>
  <si>
    <t>1989125663</t>
  </si>
  <si>
    <t>14.149001/2024.01570/BC.O.</t>
  </si>
  <si>
    <t>1989125664</t>
  </si>
  <si>
    <t>14.149001/2024.01565/BC.O.</t>
  </si>
  <si>
    <t>1991051684</t>
  </si>
  <si>
    <t>ESCRITORIO/METALICO DE DOS NIVELES</t>
  </si>
  <si>
    <t>14.149001/2024.01560/BC.O.</t>
  </si>
  <si>
    <t>1991051689</t>
  </si>
  <si>
    <t>14.149001/2024.01561/BC.O.</t>
  </si>
  <si>
    <t>1991051690</t>
  </si>
  <si>
    <t>14.149001/2024.01562/BC.O.</t>
  </si>
  <si>
    <t>1991051691</t>
  </si>
  <si>
    <t>14.149001/2024.01563/BC.O.</t>
  </si>
  <si>
    <t>1991051692</t>
  </si>
  <si>
    <t>14.149001/2024.01564/BC.O.</t>
  </si>
  <si>
    <t>1991051710</t>
  </si>
  <si>
    <t>14.149001/2024.01574/BC.O.</t>
  </si>
  <si>
    <t>1991208582</t>
  </si>
  <si>
    <t>14.149001/2024.01566/BC.O.</t>
  </si>
  <si>
    <t>1994008969</t>
  </si>
  <si>
    <t>14.149001/2024.01567/BC.O.</t>
  </si>
  <si>
    <t>1994008970</t>
  </si>
  <si>
    <t>14.149001/2024.01572/BC.O.</t>
  </si>
  <si>
    <t>2000200231</t>
  </si>
  <si>
    <t>ESCRITORIO/DE MADERA CON UN PEDESTAL</t>
  </si>
  <si>
    <t xml:space="preserve">INFORMATICA </t>
  </si>
  <si>
    <t>14.149001/2024.01500/BC.I.</t>
  </si>
  <si>
    <t>200580080857</t>
  </si>
  <si>
    <t>COMPUTADORA/MICROCOMPUTADORA, HEWLETT PACKARD, 7800, MXJ8250428</t>
  </si>
  <si>
    <t>14.149001/2024.01471/BC.I.</t>
  </si>
  <si>
    <t>200580080902</t>
  </si>
  <si>
    <t>COMPUTADORA/MICROCOMPUTADORA, DELL, OPTIPLEX GX 520, CCRCP81</t>
  </si>
  <si>
    <t>14.149001/2024.01526/BC.I.</t>
  </si>
  <si>
    <t>200580080982</t>
  </si>
  <si>
    <t>COMPUTADORA/MICROCOMPUTADORA, HEWLETT PACKARD, DX5150 BUSINESS PC, MXJ53604YZ</t>
  </si>
  <si>
    <t>14.149001/2024.01517/BC.I.</t>
  </si>
  <si>
    <t>200580085589</t>
  </si>
  <si>
    <t>COMPUTADORA/MICROCOMPUTADORA, HEWLETT PACKARD, DX5150 BUSINESS PC, MXJ5370822</t>
  </si>
  <si>
    <t>14.149001/2024.01516/BC.I.</t>
  </si>
  <si>
    <t>200580085599</t>
  </si>
  <si>
    <t>COMPUTADORA/MICROCOMPUTADORA, HEWLETT PACKARD, COMPAQ DC7800, MXJ80605M1</t>
  </si>
  <si>
    <t>14.149001/2024.01497/BC.I.</t>
  </si>
  <si>
    <t>200580085684</t>
  </si>
  <si>
    <t>COMPUTADORA/MICROCOMPUTADORA, HEWLETT PACKARD, 7700, MXJ80305KH</t>
  </si>
  <si>
    <t>14.149001/2024.01498/BC.I.</t>
  </si>
  <si>
    <t>200580085696</t>
  </si>
  <si>
    <t>COMPUTADORA/MICROCOMPUTADORA, HEWLETT PACKARD, 7700, MXJ72809QX</t>
  </si>
  <si>
    <t>14.149001/2024.01523/BC.I.</t>
  </si>
  <si>
    <t>200580085708</t>
  </si>
  <si>
    <t>COMPUTADORA/MICROCOMPUTADORA, HEWLETT PACKARD, DX5150 BUSINESS PC, MXJ5360902</t>
  </si>
  <si>
    <t>14.149001/2024.01528/BC.I.</t>
  </si>
  <si>
    <t>200580085830</t>
  </si>
  <si>
    <t>COMPUTADORA/MICROCOMPUTADORA, HEWLETT PACKARD, DX5150 BUSINESS PC, MXJ53706FH</t>
  </si>
  <si>
    <t>14.149001/2024.01501/BC.I.</t>
  </si>
  <si>
    <t>200580086374</t>
  </si>
  <si>
    <t>COMPUTADORA/MICROCOMPUTADORA, HEWLETT PACKARD, 7900, MXJ9460CXM</t>
  </si>
  <si>
    <t>14.149001/2024.01473/BC.I.</t>
  </si>
  <si>
    <t>200580086589</t>
  </si>
  <si>
    <t>COMPUTADORA/MICROCOMPUTADORA, DELL, OPTIPLEX GX 520, 4LTGW91</t>
  </si>
  <si>
    <t>14.149001/2024.01524/BC.I.</t>
  </si>
  <si>
    <t>200580088101</t>
  </si>
  <si>
    <t>COMPUTADORA/MICROCOMPUTADORA, HEWLETT PACKARD, DX5150 BUSINESS PC, MXJ53705X6</t>
  </si>
  <si>
    <t>14.149001/2024.01521/BC.I.</t>
  </si>
  <si>
    <t>200680000205</t>
  </si>
  <si>
    <t>COMPUTADORA/MICROCOMPUTADORA, HEWLETT PACKARD, DX5150 BUSINESS PC, MXJ5430530</t>
  </si>
  <si>
    <t>14.149001/2024.01496/BC.I.</t>
  </si>
  <si>
    <t>200680002650</t>
  </si>
  <si>
    <t>COMPUTADORA/MICROCOMPUTADORA, HEWLETT PACKARD, 6305 PRO SFF, MXL4112SGL</t>
  </si>
  <si>
    <t>14.149001/2024.01519/BC.I.</t>
  </si>
  <si>
    <t>200680002752</t>
  </si>
  <si>
    <t>COMPUTADORA/MICROCOMPUTADORA, HEWLETT PACKARD, DX5150 BUSINESS PC, MXJ548067F</t>
  </si>
  <si>
    <t>14.149001/2024.01529/BC.I.</t>
  </si>
  <si>
    <t>200680005054</t>
  </si>
  <si>
    <t>COMPUTADORA/MICROCOMPUTADORA, HEWLETT PACKARD, XW4300 WORKSTATION, 2UA5370WT0</t>
  </si>
  <si>
    <t>14.149001/2024.01491/BC.I.</t>
  </si>
  <si>
    <t>200880020431</t>
  </si>
  <si>
    <t>COMPUTADORA/MICROCOMPUTADORA, HEWLETT PACKARD, 6005 PRO SFF, 2UA2490ZH2</t>
  </si>
  <si>
    <t>14.149001/2024.01514/BC.I.</t>
  </si>
  <si>
    <t>200880020442</t>
  </si>
  <si>
    <t>COMPUTADORA/MICROCOMPUTADORA, HEWLETT PACKARD, COMPAQ DC7800, MXL9390R60</t>
  </si>
  <si>
    <t>14.149001/2024.01511/BC.I.</t>
  </si>
  <si>
    <t>200880020630</t>
  </si>
  <si>
    <t>COMPUTADORA/MICROCOMPUTADORA, HEWLETT PACKARD, COMPAQ DC5850 BUSINESS, MXJ84504M2</t>
  </si>
  <si>
    <t>14.149001/2024.01507/BC.I.</t>
  </si>
  <si>
    <t>200880020788</t>
  </si>
  <si>
    <t>COMPUTADORA/MICROCOMPUTADORA, HEWLETT PACKARD, COMPAQ DC5850 BUSINESS, MXJ84602SV</t>
  </si>
  <si>
    <t>14.149001/2024.01508/BC.I.</t>
  </si>
  <si>
    <t>200880021276</t>
  </si>
  <si>
    <t>COMPUTADORA/MICROCOMPUTADORA, HEWLETT PACKARD, COMPAQ DC5850 BUSINESS, MXJ84603BK</t>
  </si>
  <si>
    <t>14.149001/2024.01510/BC.I.</t>
  </si>
  <si>
    <t>200880021371</t>
  </si>
  <si>
    <t>COMPUTADORA/MICROCOMPUTADORA, HEWLETT PACKARD, COMPAQ DC5850 BUSINESS, MXJ84603FP</t>
  </si>
  <si>
    <t>14.149001/2024.01512/BC.I.</t>
  </si>
  <si>
    <t>200880021418</t>
  </si>
  <si>
    <t>COMPUTADORA/MICROCOMPUTADORA, HEWLETT PACKARD, COMPAQ DC5850 BUSINESS, MXJ84603H6</t>
  </si>
  <si>
    <t>14.149001/2024.01469/BC.I.</t>
  </si>
  <si>
    <t>200880050772</t>
  </si>
  <si>
    <t>COMPUTADORA/MICROCOMPUTADORA, LENOVO, THINKCENTRE ULTRA (INTEL), LKPCZCB</t>
  </si>
  <si>
    <t>14.149001/2024.01480/BC.I.</t>
  </si>
  <si>
    <t>200880050781</t>
  </si>
  <si>
    <t>COMPUTADORA/MICROCOMPUTADORA, LENOVO, THINKCENTRE ULTRA (INTEL), LKPAZBV</t>
  </si>
  <si>
    <t>14.149001/2024.01472/BC.I.</t>
  </si>
  <si>
    <t>200880050805</t>
  </si>
  <si>
    <t>COMPUTADORA/MICROCOMPUTADORA, LENOVO, THINKCENTRE ULTRA (INTEL), LKPCZFR</t>
  </si>
  <si>
    <t>14.149001/2024.01486/BC.I.</t>
  </si>
  <si>
    <t>200880050809</t>
  </si>
  <si>
    <t>COMPUTADORA/MICROCOMPUTADORA, LENOVO, THINKCENTRE ULTRA (INTEL), LKPAZXR</t>
  </si>
  <si>
    <t>14.149001/2024.01466/BC.I.</t>
  </si>
  <si>
    <t>200880050834</t>
  </si>
  <si>
    <t>COMPUTADORA/MICROCOMPUTADORA, LENOVO, THINKCENTRE ULTRA (INTEL), LKNXRDP</t>
  </si>
  <si>
    <t>14.149001/2024.01463/BC.I.</t>
  </si>
  <si>
    <t>200880050860</t>
  </si>
  <si>
    <t>COMPUTADORA/MICROCOMPUTADORA, LENOVO, THINKCENTRE ULTRA (INTEL), LKNXHYH</t>
  </si>
  <si>
    <t>14.149001/2024.01460/BC.I.</t>
  </si>
  <si>
    <t>200880051036</t>
  </si>
  <si>
    <t>COMPUTADORA/MICROCOMPUTADORA, ACTECK, MICROATX, 940233202408</t>
  </si>
  <si>
    <t>14.149001/2024.01492/BC.I.</t>
  </si>
  <si>
    <t>200880051661</t>
  </si>
  <si>
    <t>COMPUTADORA/MICROCOMPUTADORA, HEWLETT PACKARD, 6305, 2UA310094X</t>
  </si>
  <si>
    <t>14.149001/2024.01493/BC.I.</t>
  </si>
  <si>
    <t>200880051669</t>
  </si>
  <si>
    <t>COMPUTADORA/MICROCOMPUTADORA, LENOVO, THINKCENTRE ULTRA (INTEL), LKNXXNG</t>
  </si>
  <si>
    <t>14.149001/2024.01490/BC.I.</t>
  </si>
  <si>
    <t>200880052093</t>
  </si>
  <si>
    <t>COMPUTADORA/MICROCOMPUTADORA, LENOVO, THINKCENTRE ULTRA (INTEL), LKPAKVZ</t>
  </si>
  <si>
    <t>14.149001/2024.01475/BC.I.</t>
  </si>
  <si>
    <t>201080026128</t>
  </si>
  <si>
    <t>COMPUTADORA/MICROCOMPUTADORA, HEWLETT PACKARD, 6005 PRO BUSINESS PC, SMXL0441R4B</t>
  </si>
  <si>
    <t>14.149001/2024.01488/BC.I.</t>
  </si>
  <si>
    <t>201080026737</t>
  </si>
  <si>
    <t>COMPUTADORA/MICROCOMPUTADORA, HEWLETT PACKARD, 6005 PRO BUSINESS PC, SMXL0442J7K</t>
  </si>
  <si>
    <t>14.149001/2024.01483/BC.I.</t>
  </si>
  <si>
    <t>201080026742</t>
  </si>
  <si>
    <t>COMPUTADORA/MICROCOMPUTADORA, HEWLETT PACKARD, 6005 PRO BUSINESS PC, SMXL0442J8M</t>
  </si>
  <si>
    <t>14.149001/2024.01481/BC.I.</t>
  </si>
  <si>
    <t>201080026983</t>
  </si>
  <si>
    <t>COMPUTADORA/MICROCOMPUTADORA, HEWLETT PACKARD, 6005 PRO BUSINESS PC, SMXL044144V</t>
  </si>
  <si>
    <t>14.149001/2024.01479/BC.I.</t>
  </si>
  <si>
    <t>201080027046</t>
  </si>
  <si>
    <t>COMPUTADORA/MICROCOMPUTADORA, HEWLETT PACKARD, 6005 PRO BUSINESS PC, SMXL044153Z</t>
  </si>
  <si>
    <t>14.149001/2024.01482/BC.I.</t>
  </si>
  <si>
    <t>201080027208</t>
  </si>
  <si>
    <t>COMPUTADORA/MICROCOMPUTADORA, HEWLETT PACKARD, 6005 PRO BUSINESS PC, SMXL0441NRP</t>
  </si>
  <si>
    <t>14.149001/2024.01484/BC.I.</t>
  </si>
  <si>
    <t>201080027274</t>
  </si>
  <si>
    <t>COMPUTADORA/MICROCOMPUTADORA, HEWLETT PACKARD, 6005 PRO BUSINESS PC, SMXL0441M9Q</t>
  </si>
  <si>
    <t>14.149001/2024.01477/BC.I.</t>
  </si>
  <si>
    <t>201080027277</t>
  </si>
  <si>
    <t>COMPUTADORA/MICROCOMPUTADORA, HEWLETT PACKARD, 6005 PRO BUSINESS PC, SMXL0441M69</t>
  </si>
  <si>
    <t>14.149001/2024.01478/BC.I.</t>
  </si>
  <si>
    <t>201080027280</t>
  </si>
  <si>
    <t>COMPUTADORA/MICROCOMPUTADORA, HEWLETT PACKARD, 6005 PRO BUSINESS PC, SMXL0441M6F</t>
  </si>
  <si>
    <t>14.149001/2024.01487/BC.I.</t>
  </si>
  <si>
    <t>201080027294</t>
  </si>
  <si>
    <t>COMPUTADORA/MICROCOMPUTADORA, HEWLETT PACKARD, 6005 PRO BUSINESS PC, SMXL0441M8K</t>
  </si>
  <si>
    <t>14.149001/2024.01489/BC.I.</t>
  </si>
  <si>
    <t>201080027568</t>
  </si>
  <si>
    <t>COMPUTADORA/MICROCOMPUTADORA, HEWLETT PACKARD, 6005 PRO BUSINESS PC, SMXL0441R08</t>
  </si>
  <si>
    <t>14.149001/2024.01485/BC.I.</t>
  </si>
  <si>
    <t>201080027656</t>
  </si>
  <si>
    <t>COMPUTADORA/MICROCOMPUTADORA, HEWLETT PACKARD, 6005 PRO BUSINESS PC, SMXL0441PZZ</t>
  </si>
  <si>
    <t>14.149001/2024.01476/BC.I.</t>
  </si>
  <si>
    <t>201080034226</t>
  </si>
  <si>
    <t>COMPUTADORA/MICROCOMPUTADORA, HEWLETT PACKARD, 6005 PRO BUSINESS PC, SMXL0490T1T</t>
  </si>
  <si>
    <t>14.149001/2024.01527/BC.I.</t>
  </si>
  <si>
    <t>201080053658</t>
  </si>
  <si>
    <t>COMPUTADORA/MICROCOMPUTADORA, LENOVO, THINKCENTRE M90 3692 USFF, SMJFWCY8</t>
  </si>
  <si>
    <t>14.149001/2024.01556/BC.I.</t>
  </si>
  <si>
    <t>201080053796</t>
  </si>
  <si>
    <t>COMPUTADORA/MICROCOMPUTADORA, LENOVO, THINKCENTRE M90 3692 USFF, SMJFLCR8</t>
  </si>
  <si>
    <t>14.149001/2024.01531/BC.I.</t>
  </si>
  <si>
    <t>201080053843</t>
  </si>
  <si>
    <t>COMPUTADORA/MICROCOMPUTADORA, LENOVO, THINKCENTRE M90 3692 USFF, SMJFKYW9</t>
  </si>
  <si>
    <t>14.149001/2024.01539/BC.I.</t>
  </si>
  <si>
    <t>201080053930</t>
  </si>
  <si>
    <t>COMPUTADORA/MICROCOMPUTADORA, LENOVO, THINKCENTRE M90 3692 USFF, SMJFLKB6</t>
  </si>
  <si>
    <t>14.149001/2024.01544/BC.I.</t>
  </si>
  <si>
    <t>201080058949</t>
  </si>
  <si>
    <t>COMPUTADORA/MICROCOMPUTADORA, LENOVO, THINKCENTRE M90 3692 USFF, SMJFXTZ3</t>
  </si>
  <si>
    <t>14.149001/2024.01554/BC.I.</t>
  </si>
  <si>
    <t>201080058970</t>
  </si>
  <si>
    <t>COMPUTADORA/MICROCOMPUTADORA, LENOVO, THINKCENTRE M90 3692 USFF, SMJFXWH8</t>
  </si>
  <si>
    <t>14.149001/2024.01474/BC.I.</t>
  </si>
  <si>
    <t>201080059052</t>
  </si>
  <si>
    <t>COMPUTADORA/MICROCOMPUTADORA, HEWLETT PACKARD, 6000, 2UA1271SC3</t>
  </si>
  <si>
    <t>14.149001/2024.01552/BC.I.</t>
  </si>
  <si>
    <t>201080059080</t>
  </si>
  <si>
    <t>COMPUTADORA/MICROCOMPUTADORA, LENOVO, THINKCENTRE M90 3692 USFF, SMJGPNV3</t>
  </si>
  <si>
    <t>14.149001/2024.01533/BC.I.</t>
  </si>
  <si>
    <t>201080059102</t>
  </si>
  <si>
    <t>COMPUTADORA/MICROCOMPUTADORA, LENOVO, THINKCENTRE M90 3692 USFF, SMJGPRY7</t>
  </si>
  <si>
    <t>14.149001/2024.01536/BC.I.</t>
  </si>
  <si>
    <t>201080059112</t>
  </si>
  <si>
    <t>COMPUTADORA/MICROCOMPUTADORA, LENOVO, THINKCENTRE M90 3692 USFF, SMJGPMY6</t>
  </si>
  <si>
    <t>14.149001/2024.01558/BC.I.</t>
  </si>
  <si>
    <t>201080059200</t>
  </si>
  <si>
    <t>COMPUTADORA/MICROCOMPUTADORA, LENOVO, THINKCENTRE M90 3692 USFF, SMJGGXN3</t>
  </si>
  <si>
    <t>14.149001/2024.01532/BC.I.</t>
  </si>
  <si>
    <t>201080059235</t>
  </si>
  <si>
    <t>COMPUTADORA/MICROCOMPUTADORA, LENOVO, THINKCENTRE M90 3692 USFF, SMJGFZC4</t>
  </si>
  <si>
    <t>14.149001/2024.01515/BC.I.</t>
  </si>
  <si>
    <t>201080059273</t>
  </si>
  <si>
    <t>COMPUTADORA/MICROCOMPUTADORA, LENOVO, THINKCENTRE M90 3692 USFF, SMJGGHP8</t>
  </si>
  <si>
    <t>14.149001/2024.01522/BC.I.</t>
  </si>
  <si>
    <t>201080059296</t>
  </si>
  <si>
    <t>COMPUTADORA/MICROCOMPUTADORA, LENOVO, THINKCENTRE M90 3692 USFF, SMJGGBY9</t>
  </si>
  <si>
    <t>14.149001/2024.01530/BC.I.</t>
  </si>
  <si>
    <t>201080059377</t>
  </si>
  <si>
    <t>COMPUTADORA/MICROCOMPUTADORA, LENOVO, THINKCENTRE M90 3692 USFF, SMJGGFX6</t>
  </si>
  <si>
    <t>14.149001/2024.01535/BC.I.</t>
  </si>
  <si>
    <t>201080059382</t>
  </si>
  <si>
    <t>COMPUTADORA/MICROCOMPUTADORA, LENOVO, THINKCENTRE M90 3692 USFF, SMJGFZC6</t>
  </si>
  <si>
    <t>14.149001/2024.01543/BC.I.</t>
  </si>
  <si>
    <t>201080059397</t>
  </si>
  <si>
    <t>COMPUTADORA/MICROCOMPUTADORA, LENOVO, THINKCENTRE M90 3692 USFF, SMJGRAY0</t>
  </si>
  <si>
    <t>14.149001/2024.01534/BC.I.</t>
  </si>
  <si>
    <t>201080059401</t>
  </si>
  <si>
    <t>COMPUTADORA/MICROCOMPUTADORA, LENOVO, THINKCENTRE M90 3692 USFF, SMJGREP0</t>
  </si>
  <si>
    <t>14.149001/2024.01542/BC.I.</t>
  </si>
  <si>
    <t>201080059432</t>
  </si>
  <si>
    <t>COMPUTADORA/MICROCOMPUTADORA, LENOVO, THINKCENTRE M90 3692 USFF, SMJGRMF0</t>
  </si>
  <si>
    <t>14.149001/2024.01545/BC.I.</t>
  </si>
  <si>
    <t>201080059478</t>
  </si>
  <si>
    <t>COMPUTADORA/MICROCOMPUTADORA, LENOVO, THINKCENTRE M90 3692 USFF, SMJGPXX2</t>
  </si>
  <si>
    <t>14.149001/2024.01540/BC.I.</t>
  </si>
  <si>
    <t>201080059518</t>
  </si>
  <si>
    <t>COMPUTADORA/MICROCOMPUTADORA, LENOVO, THINKCENTRE M90 3692 USFF, SMJGRMH5</t>
  </si>
  <si>
    <t>14.149001/2024.01461/BC.I.</t>
  </si>
  <si>
    <t>201080059634</t>
  </si>
  <si>
    <t>COMPUTADORA/MICROCOMPUTADORA, DELL, OPTIPLEX 7010 DT, B7RGX12</t>
  </si>
  <si>
    <t>14.149001/2024.01557/BC.I.</t>
  </si>
  <si>
    <t>201080059635</t>
  </si>
  <si>
    <t>COMPUTADORA/MICROCOMPUTADORA, LENOVO, THINKCENTRE M90 3692 USFF, SMJGPVW7</t>
  </si>
  <si>
    <t>14.149001/2024.01502/BC.I.</t>
  </si>
  <si>
    <t>201080059642</t>
  </si>
  <si>
    <t>COMPUTADORA/MICROCOMPUTADORA, LENOVO, THINKCENTRE M90 3692 USFF, SMJFXWW2</t>
  </si>
  <si>
    <t>14.149001/2024.01509/BC.I.</t>
  </si>
  <si>
    <t>201080059653</t>
  </si>
  <si>
    <t>COMPUTADORA/MICROCOMPUTADORA, LENOVO, THINKCENTRE M90 3692 USFF, SMJFXRM5</t>
  </si>
  <si>
    <t>14.149001/2024.01499/BC.I.</t>
  </si>
  <si>
    <t>201080059659</t>
  </si>
  <si>
    <t>COMPUTADORA/MICROCOMPUTADORA, LENOVO, THINKCENTRE M90 3692 USFF, SMJFXWT2</t>
  </si>
  <si>
    <t>14.149001/2024.01555/BC.I.</t>
  </si>
  <si>
    <t>201080059782</t>
  </si>
  <si>
    <t>COMPUTADORA/MICROCOMPUTADORA, LENOVO, THINKCENTRE M90 3692 USFF, SMJGPRZ8</t>
  </si>
  <si>
    <t>14.149001/2024.01538/BC.I.</t>
  </si>
  <si>
    <t>201080059784</t>
  </si>
  <si>
    <t>COMPUTADORA/MICROCOMPUTADORA, LENOVO, THINKCENTRE M90 3692 USFF, SMJGPHR3</t>
  </si>
  <si>
    <t>14.149001/2024.01559/BC.I.</t>
  </si>
  <si>
    <t>201080059808</t>
  </si>
  <si>
    <t>COMPUTADORA/MICROCOMPUTADORA, LENOVO, THINKCENTRE M90 3692 USFF, SMJGPNR3</t>
  </si>
  <si>
    <t>14.149001/2024.01548/BC.I.</t>
  </si>
  <si>
    <t>201080059929</t>
  </si>
  <si>
    <t>COMPUTADORA/MICROCOMPUTADORA, LENOVO, THINKCENTRE M90 3692 USFF, SMJGGFT4</t>
  </si>
  <si>
    <t>14.149001/2024.01541/BC.I.</t>
  </si>
  <si>
    <t>201080059937</t>
  </si>
  <si>
    <t>COMPUTADORA/MICROCOMPUTADORA, LENOVO, THINKCENTRE M90 3692 USFF, SMJGGFZ1</t>
  </si>
  <si>
    <t>14.149001/2024.01537/BC.I.</t>
  </si>
  <si>
    <t>201080060010</t>
  </si>
  <si>
    <t>COMPUTADORA/MICROCOMPUTADORA, LENOVO, THINKCENTRE M90 3692 USFF, SMJFXTH8</t>
  </si>
  <si>
    <t>201080060030</t>
  </si>
  <si>
    <t>COMPUTADORA/MICROCOMPUTADORA, LENOVO, THINKCENTRE M90 3692 USFF, SMJGFZG6</t>
  </si>
  <si>
    <t>201080060077</t>
  </si>
  <si>
    <t>COMPUTADORA/MICROCOMPUTADORA, LENOVO, THINKCENTRE M90 3692 USFF, SMJGGYF5</t>
  </si>
  <si>
    <t>14.149001/2024.01549/BC.I.</t>
  </si>
  <si>
    <t>201080060081</t>
  </si>
  <si>
    <t>COMPUTADORA/MICROCOMPUTADORA, LENOVO, THINKCENTRE M90 3692 USFF, SMJFXTC5</t>
  </si>
  <si>
    <t>14.149001/2024.01551/BC.I.</t>
  </si>
  <si>
    <t>201080060092</t>
  </si>
  <si>
    <t>COMPUTADORA/MICROCOMPUTADORA, LENOVO, THINKCENTRE M90 3692 USFF, SMJFXTB5</t>
  </si>
  <si>
    <t>14.149001/2024.01553/BC.I.</t>
  </si>
  <si>
    <t>201080060125</t>
  </si>
  <si>
    <t>COMPUTADORA/MICROCOMPUTADORA, LENOVO, THINKCENTRE M90 3692 USFF, SMJFXTK0</t>
  </si>
  <si>
    <t>14.149001/2024.01495/BC.I.</t>
  </si>
  <si>
    <t>201080060145</t>
  </si>
  <si>
    <t>COMPUTADORA/MICROCOMPUTADORA, LENOVO, THINKCENTRE M90 3692 USFF, SMJGPRP1</t>
  </si>
  <si>
    <t>14.149001/2024.01547/BC.I.</t>
  </si>
  <si>
    <t>201080060163</t>
  </si>
  <si>
    <t>COMPUTADORA/MICROCOMPUTADORA, LENOVO, THINKCENTRE M90 3692 USFF, SMJGPKE7</t>
  </si>
  <si>
    <t>14.149001/2024.01520/BC.I.</t>
  </si>
  <si>
    <t>201080060175</t>
  </si>
  <si>
    <t>COMPUTADORA/MICROCOMPUTADORA, LENOVO, THINKCENTRE M90 3692 USFF, SMJGRMM2</t>
  </si>
  <si>
    <t>14.149001/2024.01546/BC.I.</t>
  </si>
  <si>
    <t>201080060301</t>
  </si>
  <si>
    <t>COMPUTADORA/MICROCOMPUTADORA, LENOVO, THINKCENTRE M90 3692 USFF, SMJGRMW2</t>
  </si>
  <si>
    <t>14.149001/2024.01518/BC.I.</t>
  </si>
  <si>
    <t>201080060308</t>
  </si>
  <si>
    <t>COMPUTADORA/MICROCOMPUTADORA, LENOVO, THINKCENTRE M90 3692 USFF, SMJGPYG1</t>
  </si>
  <si>
    <t>201080060310</t>
  </si>
  <si>
    <t>COMPUTADORA/MICROCOMPUTADORA, LENOVO, THINKCENTRE M90 3692 USFF, SMJGRCF0</t>
  </si>
  <si>
    <t>14.149001/2024.01506/BC.I.</t>
  </si>
  <si>
    <t>201080060365</t>
  </si>
  <si>
    <t>COMPUTADORA/MICROCOMPUTADORA, LENOVO, THINKCENTRE M90 3692 USFF, SMJGFYZ4</t>
  </si>
  <si>
    <t>201080060369</t>
  </si>
  <si>
    <t>COMPUTADORA/MICROCOMPUTADORA, LENOVO, THINKCENTRE M90 3692 USFF, SMJGPGF7</t>
  </si>
  <si>
    <t>14.149001/2024.01513/BC.I.</t>
  </si>
  <si>
    <t>201080060379</t>
  </si>
  <si>
    <t>COMPUTADORA/MICROCOMPUTADORA, LENOVO, THINKCENTRE M90 3692 USFF, SMJGPMP6</t>
  </si>
  <si>
    <t>14.149001/2024.01503/BC.I.</t>
  </si>
  <si>
    <t>201080060408</t>
  </si>
  <si>
    <t>COMPUTADORA/MICROCOMPUTADORA, HEWLETT PACKARD, COMPAQ 6005, MXL0211WS4</t>
  </si>
  <si>
    <t>14.149001/2024.01550/BC.I.</t>
  </si>
  <si>
    <t>201080060445</t>
  </si>
  <si>
    <t>COMPUTADORA/MICROCOMPUTADORA, LENOVO, THINKCENTRE M90 3692 USFF, SMJGHZD3</t>
  </si>
  <si>
    <t>14.149001/2024.01464/BC.I.</t>
  </si>
  <si>
    <t>201080060457</t>
  </si>
  <si>
    <t>COMPUTADORA/MICROCOMPUTADORA, DELL, OPTIPLEX 7010 DT, GGJMM02</t>
  </si>
  <si>
    <t>14.149001/2024.01525/BC.I.</t>
  </si>
  <si>
    <t>201080060537</t>
  </si>
  <si>
    <t>COMPUTADORA/MICROCOMPUTADORA, LENOVO, THINKCENTRE M90 3692 USFF, SMJGPKD0</t>
  </si>
  <si>
    <t>14.149001/2024.01465/BC.I.</t>
  </si>
  <si>
    <t>201080075728</t>
  </si>
  <si>
    <t>COMPUTADORA/MICROCOMPUTADORA, DELL, OPTIPLEX 780, 2KPK3P1</t>
  </si>
  <si>
    <t>14.149001/2024.01504/BC.I.</t>
  </si>
  <si>
    <t>201180011136</t>
  </si>
  <si>
    <t>COMPUTADORA/MICROCOMPUTADORA, HEWLETT PACKARD, COMPAQ 6005, MXL1481NT2</t>
  </si>
  <si>
    <t>14.149001/2024.01462/BC.I.</t>
  </si>
  <si>
    <t>201180013982</t>
  </si>
  <si>
    <t>COMPUTADORA/MICROCOMPUTADORA, ACTECK, MICROATX, 940233201733</t>
  </si>
  <si>
    <t>14.149001/2024.01459/BC.I.</t>
  </si>
  <si>
    <t>201180015629</t>
  </si>
  <si>
    <t>COMPUTADORA/MICROCOMPUTADORA, ACTECK, MICROATX, 940233202559</t>
  </si>
  <si>
    <t>14.149001/2024.01467/BC.I.</t>
  </si>
  <si>
    <t>201180018532</t>
  </si>
  <si>
    <t>COMPUTADORA/MICROCOMPUTADORA, DELL, OPTIPLEX 790 MT, 3CDDXR1</t>
  </si>
  <si>
    <t>14.149001/2024.01468/BC.I.</t>
  </si>
  <si>
    <t>201180018535</t>
  </si>
  <si>
    <t>COMPUTADORA/MICROCOMPUTADORA, DELL, OPTIPLEX 790 MT, 3J4DXR1</t>
  </si>
  <si>
    <t>14.149001/2024.01470/BC.I.</t>
  </si>
  <si>
    <t>201180019139</t>
  </si>
  <si>
    <t>COMPUTADORA/MICROCOMPUTADORA, DELL, OPTIPLEX 790 MT, 36MBXR1</t>
  </si>
  <si>
    <t>14.149001/2024.01494/BC.I.</t>
  </si>
  <si>
    <t>201180036878</t>
  </si>
  <si>
    <t>COMPUTADORA/MICROCOMPUTADORA, HEWLETT PACKARD, 6305 PRO SFF, MXL3250JF9</t>
  </si>
  <si>
    <t>14.149001/2024.01505/BC.I.</t>
  </si>
  <si>
    <t>201180036893</t>
  </si>
  <si>
    <t>COMPUTADORA/MICROCOMPUTADORA, HEWLETT PACKARD, COMPAQ 6005, MXL1491CG7</t>
  </si>
  <si>
    <t>CIEFD</t>
  </si>
  <si>
    <t xml:space="preserve">CIBO </t>
  </si>
  <si>
    <t xml:space="preserve">JUAREZ </t>
  </si>
  <si>
    <t>LIBERTAD REFORMA</t>
  </si>
  <si>
    <t>14.149106/2024.00342/BC.I.</t>
  </si>
  <si>
    <t>COMPUTADORA/MICROCOMPUTADORA</t>
  </si>
  <si>
    <t>14.149106/2024.00343/BC.I.</t>
  </si>
  <si>
    <t>14.149106/2024.00344/BC.I.</t>
  </si>
  <si>
    <t>14.149106/2024.00345/BC.I.</t>
  </si>
  <si>
    <t>14.149106/2024.00340/BC.I.</t>
  </si>
  <si>
    <t>14.149106/2024.00339/BC.I.</t>
  </si>
  <si>
    <t>14.149106/2024.00346/BC.I.</t>
  </si>
  <si>
    <t>14.149106/2024.00347/BC.I.</t>
  </si>
  <si>
    <t>14.149106/2024.00348/BC.I.</t>
  </si>
  <si>
    <t>14.149106/2024.00341/BC.I.</t>
  </si>
  <si>
    <t>14.149106/2024.00349/BC.I.</t>
  </si>
  <si>
    <t>14.149106/2024.00350/BC.I.</t>
  </si>
  <si>
    <t>14.149106/2024.00351/BC.I.</t>
  </si>
  <si>
    <t>14.149106/2024.00352/BC.I.</t>
  </si>
  <si>
    <t>14.149106/2024.00353/BC.I.</t>
  </si>
  <si>
    <t>14.149106/2024.00354/BC.I.</t>
  </si>
  <si>
    <t>14.149106/2024.00355/BC.I.</t>
  </si>
  <si>
    <t>14.149106/2024.00356/BC.I.</t>
  </si>
  <si>
    <t>14.149106/2024.00357/BC.I.</t>
  </si>
  <si>
    <t>14.149106/2024.00358/BC.I.</t>
  </si>
  <si>
    <t>14.149106/2024.00359/BC.I.</t>
  </si>
  <si>
    <t>14.149106/2024.00360/BC.O.</t>
  </si>
  <si>
    <t>SILLA/MODELO ESPECIAL</t>
  </si>
  <si>
    <t>14.149106/2024.00361/BC.O.</t>
  </si>
  <si>
    <t>14.149106/2024.00362/BC.O.</t>
  </si>
  <si>
    <t>14.149106/2024.00363/BC.O.</t>
  </si>
  <si>
    <t>14.149106/2024.00364/BC.O.</t>
  </si>
  <si>
    <t>14.149106/2024.00365/BC.O.</t>
  </si>
  <si>
    <t>14.149106/2024.00366/BC.O.</t>
  </si>
  <si>
    <t>14.149106/2024.00367/BC.O.</t>
  </si>
  <si>
    <t>14.149106/2024.00368/BC.O.</t>
  </si>
  <si>
    <t>14.149106/2024.00369/BC.O.</t>
  </si>
  <si>
    <t>HGZ 06</t>
  </si>
  <si>
    <t>SUBD OCOTLAN</t>
  </si>
  <si>
    <t>HGZ 07</t>
  </si>
  <si>
    <t>HGZ 09</t>
  </si>
  <si>
    <t>DEPOSITADO EN UNIDAD</t>
  </si>
  <si>
    <t xml:space="preserve">SUBD GUZMAN </t>
  </si>
  <si>
    <t>HGZ 14</t>
  </si>
  <si>
    <t>HGZ 15</t>
  </si>
  <si>
    <t>14.140404/2024.00078/BC.I.</t>
  </si>
  <si>
    <t>14.140404/2024.00079/BC.I.</t>
  </si>
  <si>
    <t>14.140404/2024.00080/BC.I.</t>
  </si>
  <si>
    <t>14.140404/2024.00081/BC.I.</t>
  </si>
  <si>
    <t>14.140404/2024.00101/BC.I.</t>
  </si>
  <si>
    <t>14.140404/2024.00082/BC.I.</t>
  </si>
  <si>
    <t>14.140404/2024.00091/BC.I.</t>
  </si>
  <si>
    <t>14.140404/2024.00105/BC.I.</t>
  </si>
  <si>
    <t>14.140404/2024.00098/BC.I.</t>
  </si>
  <si>
    <t>14.140404/2024.00090/BC.I.</t>
  </si>
  <si>
    <t>14.140404/2024.00092/BC.I.</t>
  </si>
  <si>
    <t>14.140404/2024.00088/BC.I.</t>
  </si>
  <si>
    <t>14.140404/2024.00102/BC.I.</t>
  </si>
  <si>
    <t>14.140404/2024.00097/BC.I.</t>
  </si>
  <si>
    <t>14.140404/2024.00103/BC.I.</t>
  </si>
  <si>
    <t>14.140404/2024.00104/BC.I.</t>
  </si>
  <si>
    <t>14.140404/2024.00087/BC.I.</t>
  </si>
  <si>
    <t>14.140404/2024.00083/BC.I.</t>
  </si>
  <si>
    <t>14.140404/2024.00093/BC.I.</t>
  </si>
  <si>
    <t>14.140404/2024.00094/BC.I.</t>
  </si>
  <si>
    <t>14.140404/2024.00095/BC.I.</t>
  </si>
  <si>
    <t>14.140404/2024.00089/BC.I.</t>
  </si>
  <si>
    <t>14.140404/2024.00099/BC.I.</t>
  </si>
  <si>
    <t>14.140404/2024.00100/BC.I.</t>
  </si>
  <si>
    <t>14.140404/2024.00096/BC.I.</t>
  </si>
  <si>
    <t>14.140404/2024.00084/BC.I.</t>
  </si>
  <si>
    <t>14.140404/2024.00085/BC.I.</t>
  </si>
  <si>
    <t>14.140404/2024.00086/BC.I.</t>
  </si>
  <si>
    <t>HGZ 20</t>
  </si>
  <si>
    <t>HGZ 21</t>
  </si>
  <si>
    <t>SUBD TEPA</t>
  </si>
  <si>
    <t>HGZ 26</t>
  </si>
  <si>
    <t xml:space="preserve">DEPOSITADO EN UNIDAD </t>
  </si>
  <si>
    <t>HGZ 27</t>
  </si>
  <si>
    <t>14.140401/2024.00214/BC.I.</t>
  </si>
  <si>
    <t>14.140401/2024.00212/BC.I.</t>
  </si>
  <si>
    <t>14.140401/2024.00216/BC.I.</t>
  </si>
  <si>
    <t>14.140401/2024.00156/BC.I.</t>
  </si>
  <si>
    <t>14.140401/2024.00159/BC.I.</t>
  </si>
  <si>
    <t>14.140401/2024.00160/BC.I.</t>
  </si>
  <si>
    <t>14.140401/2024.00213/BC.I.</t>
  </si>
  <si>
    <t>14.140401/2024.00175/BC.O.</t>
  </si>
  <si>
    <t>MUEBLE/ESPECIALES</t>
  </si>
  <si>
    <t>14.140401/2024.00176/BC.O.</t>
  </si>
  <si>
    <t>BURO/DE LAMINA</t>
  </si>
  <si>
    <t>14.140401/2024.00177/BC.O.</t>
  </si>
  <si>
    <t>14.140401/2024.00178/BC.O.</t>
  </si>
  <si>
    <t>14.140401/2024.00179/BC.O.</t>
  </si>
  <si>
    <t>14.140401/2024.00180/BC.O.</t>
  </si>
  <si>
    <t>14.140401/2024.00181/BC.O.</t>
  </si>
  <si>
    <t>14.140401/2024.00182/BC.O.</t>
  </si>
  <si>
    <t>14.140401/2024.00183/BC.O.</t>
  </si>
  <si>
    <t>14.140401/2024.00184/BC.O.</t>
  </si>
  <si>
    <t>14.140401/2024.00185/BC.O.</t>
  </si>
  <si>
    <t>CAMA/CLINICA DE POSICIONES</t>
  </si>
  <si>
    <t>14.140401/2024.00186/BC.O.</t>
  </si>
  <si>
    <t>14.140401/2024.00191/BC.O.</t>
  </si>
  <si>
    <t>GABINETE/UNIVERSAL METALICO</t>
  </si>
  <si>
    <t>14.140401/2024.00192/BC.O.</t>
  </si>
  <si>
    <t>MESA/PARA CARGA Y DESCARGA DE PELICULAS</t>
  </si>
  <si>
    <t>14.140401/2024.00163/BC.O.</t>
  </si>
  <si>
    <t>REPISA/PARA TOMA DE MUESTRAS</t>
  </si>
  <si>
    <t>14.140401/2024.00194/BC.O.</t>
  </si>
  <si>
    <t>CAMA/PEDIATRICA METALICA</t>
  </si>
  <si>
    <t>14.140401/2024.00187/BC.O.</t>
  </si>
  <si>
    <t>14.140401/2024.00203/BC.O.</t>
  </si>
  <si>
    <t>ESTUCHE/DE DIAGNOSTICO</t>
  </si>
  <si>
    <t>14.140401/2024.00172/BC.O.</t>
  </si>
  <si>
    <t>14.140401/2024.00193/BC.O.</t>
  </si>
  <si>
    <t>14.140401/2024.00161/BC.O.</t>
  </si>
  <si>
    <t>REFRIGERADOR/VERTICAL</t>
  </si>
  <si>
    <t>14.140401/2024.00155/BC.O.</t>
  </si>
  <si>
    <t>GABINETE/ESPECIAL</t>
  </si>
  <si>
    <t>14.140401/2024.00157/BC.O.</t>
  </si>
  <si>
    <t>14.140401/2024.00151/BC.O.</t>
  </si>
  <si>
    <t>14.140401/2024.00209/BC.O.</t>
  </si>
  <si>
    <t>14.140401/2024.00210/BC.O.</t>
  </si>
  <si>
    <t>14.140401/2024.00211/BC.O.</t>
  </si>
  <si>
    <t>14.140401/2024.00173/BC.O.</t>
  </si>
  <si>
    <t>14.140401/2024.00215/BC.O.</t>
  </si>
  <si>
    <t>14.140401/2024.00208/BC.O.</t>
  </si>
  <si>
    <t>14.140401/2024.00204/BC.O.</t>
  </si>
  <si>
    <t>14.140401/2024.00162/BC.O.</t>
  </si>
  <si>
    <t>14.140401/2024.00199/BC.O.</t>
  </si>
  <si>
    <t>14.140401/2024.00207/BC.O.</t>
  </si>
  <si>
    <t>14.140401/2024.00200/BC.O.</t>
  </si>
  <si>
    <t>14.140401/2024.00164/BC.O.</t>
  </si>
  <si>
    <t>14.140401/2024.00165/BC.O.</t>
  </si>
  <si>
    <t>14.140401/2024.00166/BC.O.</t>
  </si>
  <si>
    <t>14.140401/2024.00201/BC.O.</t>
  </si>
  <si>
    <t>14.140401/2024.00202/BC.O.</t>
  </si>
  <si>
    <t>14.140401/2024.00195/BC.O.</t>
  </si>
  <si>
    <t>14.140401/2024.00196/BC.O.</t>
  </si>
  <si>
    <t>14.140401/2024.00197/BC.O.</t>
  </si>
  <si>
    <t>MOBILIARIO DE ADMINISTRACIÓN</t>
  </si>
  <si>
    <t>14.140401/2024.00198/BC.O.</t>
  </si>
  <si>
    <t>14.140401/2024.00205/BC.O.</t>
  </si>
  <si>
    <t>14.140401/2024.00206/BC.O.</t>
  </si>
  <si>
    <t>14.140401/2024.00152/BC.O.</t>
  </si>
  <si>
    <t>14.140401/2024.00153/BC.O.</t>
  </si>
  <si>
    <t>14.140401/2024.00154/BC.O.</t>
  </si>
  <si>
    <t>14.140401/2024.00167/BC.O.</t>
  </si>
  <si>
    <t>14.140401/2024.00168/BC.O.</t>
  </si>
  <si>
    <t>14.140401/2024.00169/BC.O.</t>
  </si>
  <si>
    <t>14.140401/2024.00188/BC.O.</t>
  </si>
  <si>
    <t>14.140401/2024.00189/BC.O.</t>
  </si>
  <si>
    <t>14.140401/2024.00170/BC.O.</t>
  </si>
  <si>
    <t>14.140401/2024.00171/BC.O.</t>
  </si>
  <si>
    <t>14.140401/2024.00174/BC.O.</t>
  </si>
  <si>
    <t>14.140401/2024.00190/BC.O.</t>
  </si>
  <si>
    <t>HGR 45</t>
  </si>
  <si>
    <t>HGR 46</t>
  </si>
  <si>
    <t>HGZ 89</t>
  </si>
  <si>
    <t>140104</t>
  </si>
  <si>
    <t>14.140104/2024.00419/BC.O.</t>
  </si>
  <si>
    <t>1999003677</t>
  </si>
  <si>
    <t>MONITOR/ELECTRICO</t>
  </si>
  <si>
    <t>14.140104/2024.00420/BC.O.</t>
  </si>
  <si>
    <t>1999003678</t>
  </si>
  <si>
    <t>14.140104/2024.00421/BC.O.</t>
  </si>
  <si>
    <t>1999003679</t>
  </si>
  <si>
    <t>14.140104/2024.00422/BC.O.</t>
  </si>
  <si>
    <t>2000904271</t>
  </si>
  <si>
    <t>VENTILADOR/VOLUMETRICO</t>
  </si>
  <si>
    <t>14.140104/2024.00423/BC.O.</t>
  </si>
  <si>
    <t>2000904272</t>
  </si>
  <si>
    <t>14.140104/2024.00424/BC.O.</t>
  </si>
  <si>
    <t>2000927139</t>
  </si>
  <si>
    <t>SILLON/P/OFTALMOLOGIA HIDRAULICO</t>
  </si>
  <si>
    <t>14.140104/2024.00418/BC.O.</t>
  </si>
  <si>
    <t>201000005776</t>
  </si>
  <si>
    <t>CLIMATIZADOR O ACONDIC. DE AIRE/DE AIRE</t>
  </si>
  <si>
    <t>14.140104/2024.00412/BC.O.</t>
  </si>
  <si>
    <t>201300010772</t>
  </si>
  <si>
    <t>CARRO/PARA ELECTROCARDIOGRAFO</t>
  </si>
  <si>
    <t>14.140104/2024.00413/BC.O.</t>
  </si>
  <si>
    <t>201300010773</t>
  </si>
  <si>
    <t>14.140104/2024.00414/BC.O.</t>
  </si>
  <si>
    <t>201300010774</t>
  </si>
  <si>
    <t>14.140104/2024.00416/BC.O.</t>
  </si>
  <si>
    <t>201300010775</t>
  </si>
  <si>
    <t>14.140104/2024.00415/BC.O.</t>
  </si>
  <si>
    <t>201300010776</t>
  </si>
  <si>
    <t>14.140104/2024.00417/BC.O.</t>
  </si>
  <si>
    <t>201300010777</t>
  </si>
  <si>
    <t>14.140104/2024.00383/BC.I.</t>
  </si>
  <si>
    <t>200400057724</t>
  </si>
  <si>
    <t>REGULADOR/AUTOMATICO DE VOLTAJE</t>
  </si>
  <si>
    <t>14.140104/2024.00384/BC.I.</t>
  </si>
  <si>
    <t>200400057725</t>
  </si>
  <si>
    <t>14.140104/2024.00385/BC.I.</t>
  </si>
  <si>
    <t>200400057726</t>
  </si>
  <si>
    <t>14.140104/2024.00374/BC.I.</t>
  </si>
  <si>
    <t>200600057091</t>
  </si>
  <si>
    <t>REGULADOR/ELECTRONICO DE VOLTAJE</t>
  </si>
  <si>
    <t>14.140104/2024.00378/BC.I.</t>
  </si>
  <si>
    <t>200600057099</t>
  </si>
  <si>
    <t>14.140104/2024.00375/BC.I.</t>
  </si>
  <si>
    <t>200600057122</t>
  </si>
  <si>
    <t>14.140104/2024.00379/BC.I.</t>
  </si>
  <si>
    <t>200600057184</t>
  </si>
  <si>
    <t>14.140104/2024.00380/BC.I.</t>
  </si>
  <si>
    <t>200600057209</t>
  </si>
  <si>
    <t>14.140104/2024.00376/BC.I.</t>
  </si>
  <si>
    <t>200600057229</t>
  </si>
  <si>
    <t>14.140104/2024.00381/BC.I.</t>
  </si>
  <si>
    <t>200600057356</t>
  </si>
  <si>
    <t>14.140104/2024.00382/BC.I.</t>
  </si>
  <si>
    <t>200600057385</t>
  </si>
  <si>
    <t>14.140104/2024.00395/BC.O.</t>
  </si>
  <si>
    <t>1991056458</t>
  </si>
  <si>
    <t>PORTA CUBETA/METALICO DE PATADA</t>
  </si>
  <si>
    <t>14.140104/2024.00397/BC.O.</t>
  </si>
  <si>
    <t>1991056459</t>
  </si>
  <si>
    <t>14.140104/2024.00398/BC.O.</t>
  </si>
  <si>
    <t>1991056460</t>
  </si>
  <si>
    <t>14.140104/2024.00399/BC.O.</t>
  </si>
  <si>
    <t>1991056462</t>
  </si>
  <si>
    <t>14.140104/2024.00400/BC.O.</t>
  </si>
  <si>
    <t>1991056463</t>
  </si>
  <si>
    <t>14.140104/2024.00401/BC.O.</t>
  </si>
  <si>
    <t>1991056465</t>
  </si>
  <si>
    <t>14.140104/2024.00402/BC.O.</t>
  </si>
  <si>
    <t>1991056466</t>
  </si>
  <si>
    <t>14.140104/2024.00403/BC.O.</t>
  </si>
  <si>
    <t>1991056467</t>
  </si>
  <si>
    <t>14.140104/2024.00408/BC.O.</t>
  </si>
  <si>
    <t>1995003439</t>
  </si>
  <si>
    <t>LAMPARA/QUIRURGICA DE TECHO</t>
  </si>
  <si>
    <t>14.140104/2024.00409/BC.O.</t>
  </si>
  <si>
    <t>1995003440</t>
  </si>
  <si>
    <t>14.140104/2024.00410/BC.O.</t>
  </si>
  <si>
    <t>1995003441</t>
  </si>
  <si>
    <t>14.140104/2024.00411/BC.O.</t>
  </si>
  <si>
    <t>2000903642</t>
  </si>
  <si>
    <t>MESA/OBSTETRICA HIDRAULICA</t>
  </si>
  <si>
    <t>14.140104/2024.00386/BC.O.</t>
  </si>
  <si>
    <t>200400029993</t>
  </si>
  <si>
    <t>BANCA/ENTANDEM DE 4 PLAZAS</t>
  </si>
  <si>
    <t>14.140104/2024.00377/BC.O.</t>
  </si>
  <si>
    <t>200400029994</t>
  </si>
  <si>
    <t>14.140104/2024.00391/BC.O.</t>
  </si>
  <si>
    <t>200400030006</t>
  </si>
  <si>
    <t>14.140104/2024.00392/BC.O.</t>
  </si>
  <si>
    <t>200400030007</t>
  </si>
  <si>
    <t>14.140104/2024.00396/BC.O.</t>
  </si>
  <si>
    <t>200400030008</t>
  </si>
  <si>
    <t>14.140104/2024.00393/BC.O.</t>
  </si>
  <si>
    <t>200400030010</t>
  </si>
  <si>
    <t>14.140104/2024.00394/BC.O.</t>
  </si>
  <si>
    <t>200400030011</t>
  </si>
  <si>
    <t>14.140104/2024.00389/BC.O.</t>
  </si>
  <si>
    <t>200600036354</t>
  </si>
  <si>
    <t>BANCA/EN TANDEM DE 3 PLAZAS</t>
  </si>
  <si>
    <t>14.140104/2024.00390/BC.O.</t>
  </si>
  <si>
    <t>200600036355</t>
  </si>
  <si>
    <t>14.140104/2024.00388/BC.O.</t>
  </si>
  <si>
    <t>200880003306</t>
  </si>
  <si>
    <t>CARRO/TUBULAR PARA CURACIONES</t>
  </si>
  <si>
    <t>14.140104/2024.00373/BC.O.</t>
  </si>
  <si>
    <t>201280003980</t>
  </si>
  <si>
    <t>LITERA/METALICA DOBLE</t>
  </si>
  <si>
    <t>14.140104/2024.00372/BC.O.</t>
  </si>
  <si>
    <t>201280003981</t>
  </si>
  <si>
    <t>14.140104/2024.00404/BC.O.</t>
  </si>
  <si>
    <t>201300010778</t>
  </si>
  <si>
    <t>UNIDAD/ELECTRICA</t>
  </si>
  <si>
    <t>14.140104/2024.00405/BC.O.</t>
  </si>
  <si>
    <t>201300010779</t>
  </si>
  <si>
    <t>14.140104/2024.00406/BC.O.</t>
  </si>
  <si>
    <t>201300010780</t>
  </si>
  <si>
    <t>14.140104/2024.00407/BC.O.</t>
  </si>
  <si>
    <t>201300010781</t>
  </si>
  <si>
    <t>14.140104/2024.00387/BC.O.</t>
  </si>
  <si>
    <t>202280013090</t>
  </si>
  <si>
    <t>MOBILIARIO MEDICO</t>
  </si>
  <si>
    <t>HGR 180</t>
  </si>
  <si>
    <t>UMF 01</t>
  </si>
  <si>
    <t>UMF 02</t>
  </si>
  <si>
    <t>UMF 03</t>
  </si>
  <si>
    <t>UMF 13</t>
  </si>
  <si>
    <t>UMF 19</t>
  </si>
  <si>
    <t>UMF 22</t>
  </si>
  <si>
    <t>UMF 23</t>
  </si>
  <si>
    <t>UMF 33</t>
  </si>
  <si>
    <t>14.142427/2024.00001/BC.I.</t>
  </si>
  <si>
    <t>14.142427/2024.00002/BC.I.</t>
  </si>
  <si>
    <t>14.142427/2024.00003/BC.I.</t>
  </si>
  <si>
    <t>14.142427/2024.00004/BC.I.</t>
  </si>
  <si>
    <t>UMF 34</t>
  </si>
  <si>
    <t>UMF 36</t>
  </si>
  <si>
    <t>UMF 44</t>
  </si>
  <si>
    <t>UMF 48</t>
  </si>
  <si>
    <t>UMF 61</t>
  </si>
  <si>
    <t>UMF 63</t>
  </si>
  <si>
    <t>UMF 64</t>
  </si>
  <si>
    <t>UMF65</t>
  </si>
  <si>
    <t>UMF 65</t>
  </si>
  <si>
    <t>UMF 67</t>
  </si>
  <si>
    <t>UMF 72</t>
  </si>
  <si>
    <t>UMF 76</t>
  </si>
  <si>
    <t>UMF 78</t>
  </si>
  <si>
    <t>UMF 85</t>
  </si>
  <si>
    <t>UMF 86</t>
  </si>
  <si>
    <t>UMF 95</t>
  </si>
  <si>
    <t>UMF 115</t>
  </si>
  <si>
    <t>UMF 118</t>
  </si>
  <si>
    <t>UMF 120</t>
  </si>
  <si>
    <t>UMF 121</t>
  </si>
  <si>
    <t>UMF 161</t>
  </si>
  <si>
    <t>UMF 169</t>
  </si>
  <si>
    <t>UMF 170</t>
  </si>
  <si>
    <t>UMF 178</t>
  </si>
  <si>
    <t>UMF 183</t>
  </si>
  <si>
    <t>UMF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</si>
</sst>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4"/>
      <color theme="1"/>
      <name val="Century Gothic"/>
      <family val="2"/>
    </font>
    <font>
      <sz val="10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/>
    <xf numFmtId="1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44" fontId="7" fillId="0" borderId="4" xfId="1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wrapText="1"/>
    </xf>
    <xf numFmtId="0" fontId="8" fillId="0" borderId="6" xfId="0" applyFont="1" applyBorder="1" applyAlignment="1">
      <alignment wrapText="1"/>
    </xf>
    <xf numFmtId="2" fontId="8" fillId="0" borderId="6" xfId="0" applyNumberFormat="1" applyFont="1" applyBorder="1" applyAlignment="1">
      <alignment horizontal="left" wrapText="1"/>
    </xf>
    <xf numFmtId="1" fontId="5" fillId="3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" fontId="3" fillId="0" borderId="4" xfId="0" applyNumberFormat="1" applyFont="1" applyBorder="1" applyAlignment="1">
      <alignment horizontal="left" wrapText="1"/>
    </xf>
    <xf numFmtId="1" fontId="9" fillId="3" borderId="4" xfId="0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wrapText="1"/>
    </xf>
    <xf numFmtId="3" fontId="9" fillId="3" borderId="4" xfId="0" applyNumberFormat="1" applyFont="1" applyFill="1" applyBorder="1" applyAlignment="1">
      <alignment wrapText="1"/>
    </xf>
    <xf numFmtId="0" fontId="10" fillId="0" borderId="0" xfId="0" applyFont="1"/>
    <xf numFmtId="0" fontId="4" fillId="0" borderId="2" xfId="0" applyFont="1" applyBorder="1"/>
    <xf numFmtId="1" fontId="4" fillId="0" borderId="2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5" fillId="0" borderId="0" xfId="0" applyFont="1"/>
    <xf numFmtId="1" fontId="3" fillId="0" borderId="4" xfId="0" applyNumberFormat="1" applyFont="1" applyBorder="1" applyAlignment="1">
      <alignment wrapText="1"/>
    </xf>
    <xf numFmtId="1" fontId="11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44" fontId="12" fillId="0" borderId="4" xfId="1" applyFont="1" applyFill="1" applyBorder="1" applyAlignment="1">
      <alignment wrapText="1"/>
    </xf>
    <xf numFmtId="0" fontId="11" fillId="0" borderId="0" xfId="0" applyFont="1"/>
    <xf numFmtId="164" fontId="2" fillId="0" borderId="7" xfId="0" applyNumberFormat="1" applyFont="1" applyBorder="1"/>
    <xf numFmtId="0" fontId="3" fillId="0" borderId="2" xfId="0" applyFont="1" applyBorder="1"/>
    <xf numFmtId="1" fontId="2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9AE7-F469-4E25-BFAE-05CDB97882A7}">
  <sheetPr>
    <pageSetUpPr fitToPage="1"/>
  </sheetPr>
  <dimension ref="A1:L2624"/>
  <sheetViews>
    <sheetView tabSelected="1" topLeftCell="A1307" workbookViewId="0">
      <selection activeCell="F23" sqref="F23"/>
    </sheetView>
  </sheetViews>
  <sheetFormatPr baseColWidth="10" defaultRowHeight="13.5" x14ac:dyDescent="0.25"/>
  <cols>
    <col min="1" max="1" width="7.42578125" style="2" customWidth="1"/>
    <col min="2" max="2" width="20.28515625" style="3" customWidth="1"/>
    <col min="3" max="3" width="12.28515625" style="1" customWidth="1"/>
    <col min="4" max="4" width="32.7109375" style="2" customWidth="1"/>
    <col min="5" max="5" width="17.5703125" style="2" customWidth="1"/>
    <col min="6" max="6" width="49.42578125" style="3" customWidth="1"/>
    <col min="7" max="7" width="16.7109375" style="37" customWidth="1"/>
    <col min="8" max="8" width="9" style="1" customWidth="1"/>
    <col min="9" max="9" width="9.7109375" style="2" customWidth="1"/>
    <col min="10" max="10" width="18.28515625" style="1" customWidth="1"/>
    <col min="11" max="11" width="35.42578125" style="1" customWidth="1"/>
    <col min="12" max="12" width="17.42578125" style="1" bestFit="1" customWidth="1"/>
    <col min="13" max="256" width="11.42578125" style="1"/>
    <col min="257" max="257" width="7.42578125" style="1" customWidth="1"/>
    <col min="258" max="258" width="20.28515625" style="1" customWidth="1"/>
    <col min="259" max="259" width="12.28515625" style="1" customWidth="1"/>
    <col min="260" max="260" width="32.7109375" style="1" customWidth="1"/>
    <col min="261" max="261" width="17.5703125" style="1" customWidth="1"/>
    <col min="262" max="262" width="49.42578125" style="1" customWidth="1"/>
    <col min="263" max="263" width="16.7109375" style="1" customWidth="1"/>
    <col min="264" max="264" width="9" style="1" customWidth="1"/>
    <col min="265" max="265" width="9.7109375" style="1" customWidth="1"/>
    <col min="266" max="266" width="18.28515625" style="1" customWidth="1"/>
    <col min="267" max="267" width="35.42578125" style="1" customWidth="1"/>
    <col min="268" max="268" width="17.42578125" style="1" bestFit="1" customWidth="1"/>
    <col min="269" max="512" width="11.42578125" style="1"/>
    <col min="513" max="513" width="7.42578125" style="1" customWidth="1"/>
    <col min="514" max="514" width="20.28515625" style="1" customWidth="1"/>
    <col min="515" max="515" width="12.28515625" style="1" customWidth="1"/>
    <col min="516" max="516" width="32.7109375" style="1" customWidth="1"/>
    <col min="517" max="517" width="17.5703125" style="1" customWidth="1"/>
    <col min="518" max="518" width="49.42578125" style="1" customWidth="1"/>
    <col min="519" max="519" width="16.7109375" style="1" customWidth="1"/>
    <col min="520" max="520" width="9" style="1" customWidth="1"/>
    <col min="521" max="521" width="9.7109375" style="1" customWidth="1"/>
    <col min="522" max="522" width="18.28515625" style="1" customWidth="1"/>
    <col min="523" max="523" width="35.42578125" style="1" customWidth="1"/>
    <col min="524" max="524" width="17.42578125" style="1" bestFit="1" customWidth="1"/>
    <col min="525" max="768" width="11.42578125" style="1"/>
    <col min="769" max="769" width="7.42578125" style="1" customWidth="1"/>
    <col min="770" max="770" width="20.28515625" style="1" customWidth="1"/>
    <col min="771" max="771" width="12.28515625" style="1" customWidth="1"/>
    <col min="772" max="772" width="32.7109375" style="1" customWidth="1"/>
    <col min="773" max="773" width="17.5703125" style="1" customWidth="1"/>
    <col min="774" max="774" width="49.42578125" style="1" customWidth="1"/>
    <col min="775" max="775" width="16.7109375" style="1" customWidth="1"/>
    <col min="776" max="776" width="9" style="1" customWidth="1"/>
    <col min="777" max="777" width="9.7109375" style="1" customWidth="1"/>
    <col min="778" max="778" width="18.28515625" style="1" customWidth="1"/>
    <col min="779" max="779" width="35.42578125" style="1" customWidth="1"/>
    <col min="780" max="780" width="17.42578125" style="1" bestFit="1" customWidth="1"/>
    <col min="781" max="1024" width="11.42578125" style="1"/>
    <col min="1025" max="1025" width="7.42578125" style="1" customWidth="1"/>
    <col min="1026" max="1026" width="20.28515625" style="1" customWidth="1"/>
    <col min="1027" max="1027" width="12.28515625" style="1" customWidth="1"/>
    <col min="1028" max="1028" width="32.7109375" style="1" customWidth="1"/>
    <col min="1029" max="1029" width="17.5703125" style="1" customWidth="1"/>
    <col min="1030" max="1030" width="49.42578125" style="1" customWidth="1"/>
    <col min="1031" max="1031" width="16.7109375" style="1" customWidth="1"/>
    <col min="1032" max="1032" width="9" style="1" customWidth="1"/>
    <col min="1033" max="1033" width="9.7109375" style="1" customWidth="1"/>
    <col min="1034" max="1034" width="18.28515625" style="1" customWidth="1"/>
    <col min="1035" max="1035" width="35.42578125" style="1" customWidth="1"/>
    <col min="1036" max="1036" width="17.42578125" style="1" bestFit="1" customWidth="1"/>
    <col min="1037" max="1280" width="11.42578125" style="1"/>
    <col min="1281" max="1281" width="7.42578125" style="1" customWidth="1"/>
    <col min="1282" max="1282" width="20.28515625" style="1" customWidth="1"/>
    <col min="1283" max="1283" width="12.28515625" style="1" customWidth="1"/>
    <col min="1284" max="1284" width="32.7109375" style="1" customWidth="1"/>
    <col min="1285" max="1285" width="17.5703125" style="1" customWidth="1"/>
    <col min="1286" max="1286" width="49.42578125" style="1" customWidth="1"/>
    <col min="1287" max="1287" width="16.7109375" style="1" customWidth="1"/>
    <col min="1288" max="1288" width="9" style="1" customWidth="1"/>
    <col min="1289" max="1289" width="9.7109375" style="1" customWidth="1"/>
    <col min="1290" max="1290" width="18.28515625" style="1" customWidth="1"/>
    <col min="1291" max="1291" width="35.42578125" style="1" customWidth="1"/>
    <col min="1292" max="1292" width="17.42578125" style="1" bestFit="1" customWidth="1"/>
    <col min="1293" max="1536" width="11.42578125" style="1"/>
    <col min="1537" max="1537" width="7.42578125" style="1" customWidth="1"/>
    <col min="1538" max="1538" width="20.28515625" style="1" customWidth="1"/>
    <col min="1539" max="1539" width="12.28515625" style="1" customWidth="1"/>
    <col min="1540" max="1540" width="32.7109375" style="1" customWidth="1"/>
    <col min="1541" max="1541" width="17.5703125" style="1" customWidth="1"/>
    <col min="1542" max="1542" width="49.42578125" style="1" customWidth="1"/>
    <col min="1543" max="1543" width="16.7109375" style="1" customWidth="1"/>
    <col min="1544" max="1544" width="9" style="1" customWidth="1"/>
    <col min="1545" max="1545" width="9.7109375" style="1" customWidth="1"/>
    <col min="1546" max="1546" width="18.28515625" style="1" customWidth="1"/>
    <col min="1547" max="1547" width="35.42578125" style="1" customWidth="1"/>
    <col min="1548" max="1548" width="17.42578125" style="1" bestFit="1" customWidth="1"/>
    <col min="1549" max="1792" width="11.42578125" style="1"/>
    <col min="1793" max="1793" width="7.42578125" style="1" customWidth="1"/>
    <col min="1794" max="1794" width="20.28515625" style="1" customWidth="1"/>
    <col min="1795" max="1795" width="12.28515625" style="1" customWidth="1"/>
    <col min="1796" max="1796" width="32.7109375" style="1" customWidth="1"/>
    <col min="1797" max="1797" width="17.5703125" style="1" customWidth="1"/>
    <col min="1798" max="1798" width="49.42578125" style="1" customWidth="1"/>
    <col min="1799" max="1799" width="16.7109375" style="1" customWidth="1"/>
    <col min="1800" max="1800" width="9" style="1" customWidth="1"/>
    <col min="1801" max="1801" width="9.7109375" style="1" customWidth="1"/>
    <col min="1802" max="1802" width="18.28515625" style="1" customWidth="1"/>
    <col min="1803" max="1803" width="35.42578125" style="1" customWidth="1"/>
    <col min="1804" max="1804" width="17.42578125" style="1" bestFit="1" customWidth="1"/>
    <col min="1805" max="2048" width="11.42578125" style="1"/>
    <col min="2049" max="2049" width="7.42578125" style="1" customWidth="1"/>
    <col min="2050" max="2050" width="20.28515625" style="1" customWidth="1"/>
    <col min="2051" max="2051" width="12.28515625" style="1" customWidth="1"/>
    <col min="2052" max="2052" width="32.7109375" style="1" customWidth="1"/>
    <col min="2053" max="2053" width="17.5703125" style="1" customWidth="1"/>
    <col min="2054" max="2054" width="49.42578125" style="1" customWidth="1"/>
    <col min="2055" max="2055" width="16.7109375" style="1" customWidth="1"/>
    <col min="2056" max="2056" width="9" style="1" customWidth="1"/>
    <col min="2057" max="2057" width="9.7109375" style="1" customWidth="1"/>
    <col min="2058" max="2058" width="18.28515625" style="1" customWidth="1"/>
    <col min="2059" max="2059" width="35.42578125" style="1" customWidth="1"/>
    <col min="2060" max="2060" width="17.42578125" style="1" bestFit="1" customWidth="1"/>
    <col min="2061" max="2304" width="11.42578125" style="1"/>
    <col min="2305" max="2305" width="7.42578125" style="1" customWidth="1"/>
    <col min="2306" max="2306" width="20.28515625" style="1" customWidth="1"/>
    <col min="2307" max="2307" width="12.28515625" style="1" customWidth="1"/>
    <col min="2308" max="2308" width="32.7109375" style="1" customWidth="1"/>
    <col min="2309" max="2309" width="17.5703125" style="1" customWidth="1"/>
    <col min="2310" max="2310" width="49.42578125" style="1" customWidth="1"/>
    <col min="2311" max="2311" width="16.7109375" style="1" customWidth="1"/>
    <col min="2312" max="2312" width="9" style="1" customWidth="1"/>
    <col min="2313" max="2313" width="9.7109375" style="1" customWidth="1"/>
    <col min="2314" max="2314" width="18.28515625" style="1" customWidth="1"/>
    <col min="2315" max="2315" width="35.42578125" style="1" customWidth="1"/>
    <col min="2316" max="2316" width="17.42578125" style="1" bestFit="1" customWidth="1"/>
    <col min="2317" max="2560" width="11.42578125" style="1"/>
    <col min="2561" max="2561" width="7.42578125" style="1" customWidth="1"/>
    <col min="2562" max="2562" width="20.28515625" style="1" customWidth="1"/>
    <col min="2563" max="2563" width="12.28515625" style="1" customWidth="1"/>
    <col min="2564" max="2564" width="32.7109375" style="1" customWidth="1"/>
    <col min="2565" max="2565" width="17.5703125" style="1" customWidth="1"/>
    <col min="2566" max="2566" width="49.42578125" style="1" customWidth="1"/>
    <col min="2567" max="2567" width="16.7109375" style="1" customWidth="1"/>
    <col min="2568" max="2568" width="9" style="1" customWidth="1"/>
    <col min="2569" max="2569" width="9.7109375" style="1" customWidth="1"/>
    <col min="2570" max="2570" width="18.28515625" style="1" customWidth="1"/>
    <col min="2571" max="2571" width="35.42578125" style="1" customWidth="1"/>
    <col min="2572" max="2572" width="17.42578125" style="1" bestFit="1" customWidth="1"/>
    <col min="2573" max="2816" width="11.42578125" style="1"/>
    <col min="2817" max="2817" width="7.42578125" style="1" customWidth="1"/>
    <col min="2818" max="2818" width="20.28515625" style="1" customWidth="1"/>
    <col min="2819" max="2819" width="12.28515625" style="1" customWidth="1"/>
    <col min="2820" max="2820" width="32.7109375" style="1" customWidth="1"/>
    <col min="2821" max="2821" width="17.5703125" style="1" customWidth="1"/>
    <col min="2822" max="2822" width="49.42578125" style="1" customWidth="1"/>
    <col min="2823" max="2823" width="16.7109375" style="1" customWidth="1"/>
    <col min="2824" max="2824" width="9" style="1" customWidth="1"/>
    <col min="2825" max="2825" width="9.7109375" style="1" customWidth="1"/>
    <col min="2826" max="2826" width="18.28515625" style="1" customWidth="1"/>
    <col min="2827" max="2827" width="35.42578125" style="1" customWidth="1"/>
    <col min="2828" max="2828" width="17.42578125" style="1" bestFit="1" customWidth="1"/>
    <col min="2829" max="3072" width="11.42578125" style="1"/>
    <col min="3073" max="3073" width="7.42578125" style="1" customWidth="1"/>
    <col min="3074" max="3074" width="20.28515625" style="1" customWidth="1"/>
    <col min="3075" max="3075" width="12.28515625" style="1" customWidth="1"/>
    <col min="3076" max="3076" width="32.7109375" style="1" customWidth="1"/>
    <col min="3077" max="3077" width="17.5703125" style="1" customWidth="1"/>
    <col min="3078" max="3078" width="49.42578125" style="1" customWidth="1"/>
    <col min="3079" max="3079" width="16.7109375" style="1" customWidth="1"/>
    <col min="3080" max="3080" width="9" style="1" customWidth="1"/>
    <col min="3081" max="3081" width="9.7109375" style="1" customWidth="1"/>
    <col min="3082" max="3082" width="18.28515625" style="1" customWidth="1"/>
    <col min="3083" max="3083" width="35.42578125" style="1" customWidth="1"/>
    <col min="3084" max="3084" width="17.42578125" style="1" bestFit="1" customWidth="1"/>
    <col min="3085" max="3328" width="11.42578125" style="1"/>
    <col min="3329" max="3329" width="7.42578125" style="1" customWidth="1"/>
    <col min="3330" max="3330" width="20.28515625" style="1" customWidth="1"/>
    <col min="3331" max="3331" width="12.28515625" style="1" customWidth="1"/>
    <col min="3332" max="3332" width="32.7109375" style="1" customWidth="1"/>
    <col min="3333" max="3333" width="17.5703125" style="1" customWidth="1"/>
    <col min="3334" max="3334" width="49.42578125" style="1" customWidth="1"/>
    <col min="3335" max="3335" width="16.7109375" style="1" customWidth="1"/>
    <col min="3336" max="3336" width="9" style="1" customWidth="1"/>
    <col min="3337" max="3337" width="9.7109375" style="1" customWidth="1"/>
    <col min="3338" max="3338" width="18.28515625" style="1" customWidth="1"/>
    <col min="3339" max="3339" width="35.42578125" style="1" customWidth="1"/>
    <col min="3340" max="3340" width="17.42578125" style="1" bestFit="1" customWidth="1"/>
    <col min="3341" max="3584" width="11.42578125" style="1"/>
    <col min="3585" max="3585" width="7.42578125" style="1" customWidth="1"/>
    <col min="3586" max="3586" width="20.28515625" style="1" customWidth="1"/>
    <col min="3587" max="3587" width="12.28515625" style="1" customWidth="1"/>
    <col min="3588" max="3588" width="32.7109375" style="1" customWidth="1"/>
    <col min="3589" max="3589" width="17.5703125" style="1" customWidth="1"/>
    <col min="3590" max="3590" width="49.42578125" style="1" customWidth="1"/>
    <col min="3591" max="3591" width="16.7109375" style="1" customWidth="1"/>
    <col min="3592" max="3592" width="9" style="1" customWidth="1"/>
    <col min="3593" max="3593" width="9.7109375" style="1" customWidth="1"/>
    <col min="3594" max="3594" width="18.28515625" style="1" customWidth="1"/>
    <col min="3595" max="3595" width="35.42578125" style="1" customWidth="1"/>
    <col min="3596" max="3596" width="17.42578125" style="1" bestFit="1" customWidth="1"/>
    <col min="3597" max="3840" width="11.42578125" style="1"/>
    <col min="3841" max="3841" width="7.42578125" style="1" customWidth="1"/>
    <col min="3842" max="3842" width="20.28515625" style="1" customWidth="1"/>
    <col min="3843" max="3843" width="12.28515625" style="1" customWidth="1"/>
    <col min="3844" max="3844" width="32.7109375" style="1" customWidth="1"/>
    <col min="3845" max="3845" width="17.5703125" style="1" customWidth="1"/>
    <col min="3846" max="3846" width="49.42578125" style="1" customWidth="1"/>
    <col min="3847" max="3847" width="16.7109375" style="1" customWidth="1"/>
    <col min="3848" max="3848" width="9" style="1" customWidth="1"/>
    <col min="3849" max="3849" width="9.7109375" style="1" customWidth="1"/>
    <col min="3850" max="3850" width="18.28515625" style="1" customWidth="1"/>
    <col min="3851" max="3851" width="35.42578125" style="1" customWidth="1"/>
    <col min="3852" max="3852" width="17.42578125" style="1" bestFit="1" customWidth="1"/>
    <col min="3853" max="4096" width="11.42578125" style="1"/>
    <col min="4097" max="4097" width="7.42578125" style="1" customWidth="1"/>
    <col min="4098" max="4098" width="20.28515625" style="1" customWidth="1"/>
    <col min="4099" max="4099" width="12.28515625" style="1" customWidth="1"/>
    <col min="4100" max="4100" width="32.7109375" style="1" customWidth="1"/>
    <col min="4101" max="4101" width="17.5703125" style="1" customWidth="1"/>
    <col min="4102" max="4102" width="49.42578125" style="1" customWidth="1"/>
    <col min="4103" max="4103" width="16.7109375" style="1" customWidth="1"/>
    <col min="4104" max="4104" width="9" style="1" customWidth="1"/>
    <col min="4105" max="4105" width="9.7109375" style="1" customWidth="1"/>
    <col min="4106" max="4106" width="18.28515625" style="1" customWidth="1"/>
    <col min="4107" max="4107" width="35.42578125" style="1" customWidth="1"/>
    <col min="4108" max="4108" width="17.42578125" style="1" bestFit="1" customWidth="1"/>
    <col min="4109" max="4352" width="11.42578125" style="1"/>
    <col min="4353" max="4353" width="7.42578125" style="1" customWidth="1"/>
    <col min="4354" max="4354" width="20.28515625" style="1" customWidth="1"/>
    <col min="4355" max="4355" width="12.28515625" style="1" customWidth="1"/>
    <col min="4356" max="4356" width="32.7109375" style="1" customWidth="1"/>
    <col min="4357" max="4357" width="17.5703125" style="1" customWidth="1"/>
    <col min="4358" max="4358" width="49.42578125" style="1" customWidth="1"/>
    <col min="4359" max="4359" width="16.7109375" style="1" customWidth="1"/>
    <col min="4360" max="4360" width="9" style="1" customWidth="1"/>
    <col min="4361" max="4361" width="9.7109375" style="1" customWidth="1"/>
    <col min="4362" max="4362" width="18.28515625" style="1" customWidth="1"/>
    <col min="4363" max="4363" width="35.42578125" style="1" customWidth="1"/>
    <col min="4364" max="4364" width="17.42578125" style="1" bestFit="1" customWidth="1"/>
    <col min="4365" max="4608" width="11.42578125" style="1"/>
    <col min="4609" max="4609" width="7.42578125" style="1" customWidth="1"/>
    <col min="4610" max="4610" width="20.28515625" style="1" customWidth="1"/>
    <col min="4611" max="4611" width="12.28515625" style="1" customWidth="1"/>
    <col min="4612" max="4612" width="32.7109375" style="1" customWidth="1"/>
    <col min="4613" max="4613" width="17.5703125" style="1" customWidth="1"/>
    <col min="4614" max="4614" width="49.42578125" style="1" customWidth="1"/>
    <col min="4615" max="4615" width="16.7109375" style="1" customWidth="1"/>
    <col min="4616" max="4616" width="9" style="1" customWidth="1"/>
    <col min="4617" max="4617" width="9.7109375" style="1" customWidth="1"/>
    <col min="4618" max="4618" width="18.28515625" style="1" customWidth="1"/>
    <col min="4619" max="4619" width="35.42578125" style="1" customWidth="1"/>
    <col min="4620" max="4620" width="17.42578125" style="1" bestFit="1" customWidth="1"/>
    <col min="4621" max="4864" width="11.42578125" style="1"/>
    <col min="4865" max="4865" width="7.42578125" style="1" customWidth="1"/>
    <col min="4866" max="4866" width="20.28515625" style="1" customWidth="1"/>
    <col min="4867" max="4867" width="12.28515625" style="1" customWidth="1"/>
    <col min="4868" max="4868" width="32.7109375" style="1" customWidth="1"/>
    <col min="4869" max="4869" width="17.5703125" style="1" customWidth="1"/>
    <col min="4870" max="4870" width="49.42578125" style="1" customWidth="1"/>
    <col min="4871" max="4871" width="16.7109375" style="1" customWidth="1"/>
    <col min="4872" max="4872" width="9" style="1" customWidth="1"/>
    <col min="4873" max="4873" width="9.7109375" style="1" customWidth="1"/>
    <col min="4874" max="4874" width="18.28515625" style="1" customWidth="1"/>
    <col min="4875" max="4875" width="35.42578125" style="1" customWidth="1"/>
    <col min="4876" max="4876" width="17.42578125" style="1" bestFit="1" customWidth="1"/>
    <col min="4877" max="5120" width="11.42578125" style="1"/>
    <col min="5121" max="5121" width="7.42578125" style="1" customWidth="1"/>
    <col min="5122" max="5122" width="20.28515625" style="1" customWidth="1"/>
    <col min="5123" max="5123" width="12.28515625" style="1" customWidth="1"/>
    <col min="5124" max="5124" width="32.7109375" style="1" customWidth="1"/>
    <col min="5125" max="5125" width="17.5703125" style="1" customWidth="1"/>
    <col min="5126" max="5126" width="49.42578125" style="1" customWidth="1"/>
    <col min="5127" max="5127" width="16.7109375" style="1" customWidth="1"/>
    <col min="5128" max="5128" width="9" style="1" customWidth="1"/>
    <col min="5129" max="5129" width="9.7109375" style="1" customWidth="1"/>
    <col min="5130" max="5130" width="18.28515625" style="1" customWidth="1"/>
    <col min="5131" max="5131" width="35.42578125" style="1" customWidth="1"/>
    <col min="5132" max="5132" width="17.42578125" style="1" bestFit="1" customWidth="1"/>
    <col min="5133" max="5376" width="11.42578125" style="1"/>
    <col min="5377" max="5377" width="7.42578125" style="1" customWidth="1"/>
    <col min="5378" max="5378" width="20.28515625" style="1" customWidth="1"/>
    <col min="5379" max="5379" width="12.28515625" style="1" customWidth="1"/>
    <col min="5380" max="5380" width="32.7109375" style="1" customWidth="1"/>
    <col min="5381" max="5381" width="17.5703125" style="1" customWidth="1"/>
    <col min="5382" max="5382" width="49.42578125" style="1" customWidth="1"/>
    <col min="5383" max="5383" width="16.7109375" style="1" customWidth="1"/>
    <col min="5384" max="5384" width="9" style="1" customWidth="1"/>
    <col min="5385" max="5385" width="9.7109375" style="1" customWidth="1"/>
    <col min="5386" max="5386" width="18.28515625" style="1" customWidth="1"/>
    <col min="5387" max="5387" width="35.42578125" style="1" customWidth="1"/>
    <col min="5388" max="5388" width="17.42578125" style="1" bestFit="1" customWidth="1"/>
    <col min="5389" max="5632" width="11.42578125" style="1"/>
    <col min="5633" max="5633" width="7.42578125" style="1" customWidth="1"/>
    <col min="5634" max="5634" width="20.28515625" style="1" customWidth="1"/>
    <col min="5635" max="5635" width="12.28515625" style="1" customWidth="1"/>
    <col min="5636" max="5636" width="32.7109375" style="1" customWidth="1"/>
    <col min="5637" max="5637" width="17.5703125" style="1" customWidth="1"/>
    <col min="5638" max="5638" width="49.42578125" style="1" customWidth="1"/>
    <col min="5639" max="5639" width="16.7109375" style="1" customWidth="1"/>
    <col min="5640" max="5640" width="9" style="1" customWidth="1"/>
    <col min="5641" max="5641" width="9.7109375" style="1" customWidth="1"/>
    <col min="5642" max="5642" width="18.28515625" style="1" customWidth="1"/>
    <col min="5643" max="5643" width="35.42578125" style="1" customWidth="1"/>
    <col min="5644" max="5644" width="17.42578125" style="1" bestFit="1" customWidth="1"/>
    <col min="5645" max="5888" width="11.42578125" style="1"/>
    <col min="5889" max="5889" width="7.42578125" style="1" customWidth="1"/>
    <col min="5890" max="5890" width="20.28515625" style="1" customWidth="1"/>
    <col min="5891" max="5891" width="12.28515625" style="1" customWidth="1"/>
    <col min="5892" max="5892" width="32.7109375" style="1" customWidth="1"/>
    <col min="5893" max="5893" width="17.5703125" style="1" customWidth="1"/>
    <col min="5894" max="5894" width="49.42578125" style="1" customWidth="1"/>
    <col min="5895" max="5895" width="16.7109375" style="1" customWidth="1"/>
    <col min="5896" max="5896" width="9" style="1" customWidth="1"/>
    <col min="5897" max="5897" width="9.7109375" style="1" customWidth="1"/>
    <col min="5898" max="5898" width="18.28515625" style="1" customWidth="1"/>
    <col min="5899" max="5899" width="35.42578125" style="1" customWidth="1"/>
    <col min="5900" max="5900" width="17.42578125" style="1" bestFit="1" customWidth="1"/>
    <col min="5901" max="6144" width="11.42578125" style="1"/>
    <col min="6145" max="6145" width="7.42578125" style="1" customWidth="1"/>
    <col min="6146" max="6146" width="20.28515625" style="1" customWidth="1"/>
    <col min="6147" max="6147" width="12.28515625" style="1" customWidth="1"/>
    <col min="6148" max="6148" width="32.7109375" style="1" customWidth="1"/>
    <col min="6149" max="6149" width="17.5703125" style="1" customWidth="1"/>
    <col min="6150" max="6150" width="49.42578125" style="1" customWidth="1"/>
    <col min="6151" max="6151" width="16.7109375" style="1" customWidth="1"/>
    <col min="6152" max="6152" width="9" style="1" customWidth="1"/>
    <col min="6153" max="6153" width="9.7109375" style="1" customWidth="1"/>
    <col min="6154" max="6154" width="18.28515625" style="1" customWidth="1"/>
    <col min="6155" max="6155" width="35.42578125" style="1" customWidth="1"/>
    <col min="6156" max="6156" width="17.42578125" style="1" bestFit="1" customWidth="1"/>
    <col min="6157" max="6400" width="11.42578125" style="1"/>
    <col min="6401" max="6401" width="7.42578125" style="1" customWidth="1"/>
    <col min="6402" max="6402" width="20.28515625" style="1" customWidth="1"/>
    <col min="6403" max="6403" width="12.28515625" style="1" customWidth="1"/>
    <col min="6404" max="6404" width="32.7109375" style="1" customWidth="1"/>
    <col min="6405" max="6405" width="17.5703125" style="1" customWidth="1"/>
    <col min="6406" max="6406" width="49.42578125" style="1" customWidth="1"/>
    <col min="6407" max="6407" width="16.7109375" style="1" customWidth="1"/>
    <col min="6408" max="6408" width="9" style="1" customWidth="1"/>
    <col min="6409" max="6409" width="9.7109375" style="1" customWidth="1"/>
    <col min="6410" max="6410" width="18.28515625" style="1" customWidth="1"/>
    <col min="6411" max="6411" width="35.42578125" style="1" customWidth="1"/>
    <col min="6412" max="6412" width="17.42578125" style="1" bestFit="1" customWidth="1"/>
    <col min="6413" max="6656" width="11.42578125" style="1"/>
    <col min="6657" max="6657" width="7.42578125" style="1" customWidth="1"/>
    <col min="6658" max="6658" width="20.28515625" style="1" customWidth="1"/>
    <col min="6659" max="6659" width="12.28515625" style="1" customWidth="1"/>
    <col min="6660" max="6660" width="32.7109375" style="1" customWidth="1"/>
    <col min="6661" max="6661" width="17.5703125" style="1" customWidth="1"/>
    <col min="6662" max="6662" width="49.42578125" style="1" customWidth="1"/>
    <col min="6663" max="6663" width="16.7109375" style="1" customWidth="1"/>
    <col min="6664" max="6664" width="9" style="1" customWidth="1"/>
    <col min="6665" max="6665" width="9.7109375" style="1" customWidth="1"/>
    <col min="6666" max="6666" width="18.28515625" style="1" customWidth="1"/>
    <col min="6667" max="6667" width="35.42578125" style="1" customWidth="1"/>
    <col min="6668" max="6668" width="17.42578125" style="1" bestFit="1" customWidth="1"/>
    <col min="6669" max="6912" width="11.42578125" style="1"/>
    <col min="6913" max="6913" width="7.42578125" style="1" customWidth="1"/>
    <col min="6914" max="6914" width="20.28515625" style="1" customWidth="1"/>
    <col min="6915" max="6915" width="12.28515625" style="1" customWidth="1"/>
    <col min="6916" max="6916" width="32.7109375" style="1" customWidth="1"/>
    <col min="6917" max="6917" width="17.5703125" style="1" customWidth="1"/>
    <col min="6918" max="6918" width="49.42578125" style="1" customWidth="1"/>
    <col min="6919" max="6919" width="16.7109375" style="1" customWidth="1"/>
    <col min="6920" max="6920" width="9" style="1" customWidth="1"/>
    <col min="6921" max="6921" width="9.7109375" style="1" customWidth="1"/>
    <col min="6922" max="6922" width="18.28515625" style="1" customWidth="1"/>
    <col min="6923" max="6923" width="35.42578125" style="1" customWidth="1"/>
    <col min="6924" max="6924" width="17.42578125" style="1" bestFit="1" customWidth="1"/>
    <col min="6925" max="7168" width="11.42578125" style="1"/>
    <col min="7169" max="7169" width="7.42578125" style="1" customWidth="1"/>
    <col min="7170" max="7170" width="20.28515625" style="1" customWidth="1"/>
    <col min="7171" max="7171" width="12.28515625" style="1" customWidth="1"/>
    <col min="7172" max="7172" width="32.7109375" style="1" customWidth="1"/>
    <col min="7173" max="7173" width="17.5703125" style="1" customWidth="1"/>
    <col min="7174" max="7174" width="49.42578125" style="1" customWidth="1"/>
    <col min="7175" max="7175" width="16.7109375" style="1" customWidth="1"/>
    <col min="7176" max="7176" width="9" style="1" customWidth="1"/>
    <col min="7177" max="7177" width="9.7109375" style="1" customWidth="1"/>
    <col min="7178" max="7178" width="18.28515625" style="1" customWidth="1"/>
    <col min="7179" max="7179" width="35.42578125" style="1" customWidth="1"/>
    <col min="7180" max="7180" width="17.42578125" style="1" bestFit="1" customWidth="1"/>
    <col min="7181" max="7424" width="11.42578125" style="1"/>
    <col min="7425" max="7425" width="7.42578125" style="1" customWidth="1"/>
    <col min="7426" max="7426" width="20.28515625" style="1" customWidth="1"/>
    <col min="7427" max="7427" width="12.28515625" style="1" customWidth="1"/>
    <col min="7428" max="7428" width="32.7109375" style="1" customWidth="1"/>
    <col min="7429" max="7429" width="17.5703125" style="1" customWidth="1"/>
    <col min="7430" max="7430" width="49.42578125" style="1" customWidth="1"/>
    <col min="7431" max="7431" width="16.7109375" style="1" customWidth="1"/>
    <col min="7432" max="7432" width="9" style="1" customWidth="1"/>
    <col min="7433" max="7433" width="9.7109375" style="1" customWidth="1"/>
    <col min="7434" max="7434" width="18.28515625" style="1" customWidth="1"/>
    <col min="7435" max="7435" width="35.42578125" style="1" customWidth="1"/>
    <col min="7436" max="7436" width="17.42578125" style="1" bestFit="1" customWidth="1"/>
    <col min="7437" max="7680" width="11.42578125" style="1"/>
    <col min="7681" max="7681" width="7.42578125" style="1" customWidth="1"/>
    <col min="7682" max="7682" width="20.28515625" style="1" customWidth="1"/>
    <col min="7683" max="7683" width="12.28515625" style="1" customWidth="1"/>
    <col min="7684" max="7684" width="32.7109375" style="1" customWidth="1"/>
    <col min="7685" max="7685" width="17.5703125" style="1" customWidth="1"/>
    <col min="7686" max="7686" width="49.42578125" style="1" customWidth="1"/>
    <col min="7687" max="7687" width="16.7109375" style="1" customWidth="1"/>
    <col min="7688" max="7688" width="9" style="1" customWidth="1"/>
    <col min="7689" max="7689" width="9.7109375" style="1" customWidth="1"/>
    <col min="7690" max="7690" width="18.28515625" style="1" customWidth="1"/>
    <col min="7691" max="7691" width="35.42578125" style="1" customWidth="1"/>
    <col min="7692" max="7692" width="17.42578125" style="1" bestFit="1" customWidth="1"/>
    <col min="7693" max="7936" width="11.42578125" style="1"/>
    <col min="7937" max="7937" width="7.42578125" style="1" customWidth="1"/>
    <col min="7938" max="7938" width="20.28515625" style="1" customWidth="1"/>
    <col min="7939" max="7939" width="12.28515625" style="1" customWidth="1"/>
    <col min="7940" max="7940" width="32.7109375" style="1" customWidth="1"/>
    <col min="7941" max="7941" width="17.5703125" style="1" customWidth="1"/>
    <col min="7942" max="7942" width="49.42578125" style="1" customWidth="1"/>
    <col min="7943" max="7943" width="16.7109375" style="1" customWidth="1"/>
    <col min="7944" max="7944" width="9" style="1" customWidth="1"/>
    <col min="7945" max="7945" width="9.7109375" style="1" customWidth="1"/>
    <col min="7946" max="7946" width="18.28515625" style="1" customWidth="1"/>
    <col min="7947" max="7947" width="35.42578125" style="1" customWidth="1"/>
    <col min="7948" max="7948" width="17.42578125" style="1" bestFit="1" customWidth="1"/>
    <col min="7949" max="8192" width="11.42578125" style="1"/>
    <col min="8193" max="8193" width="7.42578125" style="1" customWidth="1"/>
    <col min="8194" max="8194" width="20.28515625" style="1" customWidth="1"/>
    <col min="8195" max="8195" width="12.28515625" style="1" customWidth="1"/>
    <col min="8196" max="8196" width="32.7109375" style="1" customWidth="1"/>
    <col min="8197" max="8197" width="17.5703125" style="1" customWidth="1"/>
    <col min="8198" max="8198" width="49.42578125" style="1" customWidth="1"/>
    <col min="8199" max="8199" width="16.7109375" style="1" customWidth="1"/>
    <col min="8200" max="8200" width="9" style="1" customWidth="1"/>
    <col min="8201" max="8201" width="9.7109375" style="1" customWidth="1"/>
    <col min="8202" max="8202" width="18.28515625" style="1" customWidth="1"/>
    <col min="8203" max="8203" width="35.42578125" style="1" customWidth="1"/>
    <col min="8204" max="8204" width="17.42578125" style="1" bestFit="1" customWidth="1"/>
    <col min="8205" max="8448" width="11.42578125" style="1"/>
    <col min="8449" max="8449" width="7.42578125" style="1" customWidth="1"/>
    <col min="8450" max="8450" width="20.28515625" style="1" customWidth="1"/>
    <col min="8451" max="8451" width="12.28515625" style="1" customWidth="1"/>
    <col min="8452" max="8452" width="32.7109375" style="1" customWidth="1"/>
    <col min="8453" max="8453" width="17.5703125" style="1" customWidth="1"/>
    <col min="8454" max="8454" width="49.42578125" style="1" customWidth="1"/>
    <col min="8455" max="8455" width="16.7109375" style="1" customWidth="1"/>
    <col min="8456" max="8456" width="9" style="1" customWidth="1"/>
    <col min="8457" max="8457" width="9.7109375" style="1" customWidth="1"/>
    <col min="8458" max="8458" width="18.28515625" style="1" customWidth="1"/>
    <col min="8459" max="8459" width="35.42578125" style="1" customWidth="1"/>
    <col min="8460" max="8460" width="17.42578125" style="1" bestFit="1" customWidth="1"/>
    <col min="8461" max="8704" width="11.42578125" style="1"/>
    <col min="8705" max="8705" width="7.42578125" style="1" customWidth="1"/>
    <col min="8706" max="8706" width="20.28515625" style="1" customWidth="1"/>
    <col min="8707" max="8707" width="12.28515625" style="1" customWidth="1"/>
    <col min="8708" max="8708" width="32.7109375" style="1" customWidth="1"/>
    <col min="8709" max="8709" width="17.5703125" style="1" customWidth="1"/>
    <col min="8710" max="8710" width="49.42578125" style="1" customWidth="1"/>
    <col min="8711" max="8711" width="16.7109375" style="1" customWidth="1"/>
    <col min="8712" max="8712" width="9" style="1" customWidth="1"/>
    <col min="8713" max="8713" width="9.7109375" style="1" customWidth="1"/>
    <col min="8714" max="8714" width="18.28515625" style="1" customWidth="1"/>
    <col min="8715" max="8715" width="35.42578125" style="1" customWidth="1"/>
    <col min="8716" max="8716" width="17.42578125" style="1" bestFit="1" customWidth="1"/>
    <col min="8717" max="8960" width="11.42578125" style="1"/>
    <col min="8961" max="8961" width="7.42578125" style="1" customWidth="1"/>
    <col min="8962" max="8962" width="20.28515625" style="1" customWidth="1"/>
    <col min="8963" max="8963" width="12.28515625" style="1" customWidth="1"/>
    <col min="8964" max="8964" width="32.7109375" style="1" customWidth="1"/>
    <col min="8965" max="8965" width="17.5703125" style="1" customWidth="1"/>
    <col min="8966" max="8966" width="49.42578125" style="1" customWidth="1"/>
    <col min="8967" max="8967" width="16.7109375" style="1" customWidth="1"/>
    <col min="8968" max="8968" width="9" style="1" customWidth="1"/>
    <col min="8969" max="8969" width="9.7109375" style="1" customWidth="1"/>
    <col min="8970" max="8970" width="18.28515625" style="1" customWidth="1"/>
    <col min="8971" max="8971" width="35.42578125" style="1" customWidth="1"/>
    <col min="8972" max="8972" width="17.42578125" style="1" bestFit="1" customWidth="1"/>
    <col min="8973" max="9216" width="11.42578125" style="1"/>
    <col min="9217" max="9217" width="7.42578125" style="1" customWidth="1"/>
    <col min="9218" max="9218" width="20.28515625" style="1" customWidth="1"/>
    <col min="9219" max="9219" width="12.28515625" style="1" customWidth="1"/>
    <col min="9220" max="9220" width="32.7109375" style="1" customWidth="1"/>
    <col min="9221" max="9221" width="17.5703125" style="1" customWidth="1"/>
    <col min="9222" max="9222" width="49.42578125" style="1" customWidth="1"/>
    <col min="9223" max="9223" width="16.7109375" style="1" customWidth="1"/>
    <col min="9224" max="9224" width="9" style="1" customWidth="1"/>
    <col min="9225" max="9225" width="9.7109375" style="1" customWidth="1"/>
    <col min="9226" max="9226" width="18.28515625" style="1" customWidth="1"/>
    <col min="9227" max="9227" width="35.42578125" style="1" customWidth="1"/>
    <col min="9228" max="9228" width="17.42578125" style="1" bestFit="1" customWidth="1"/>
    <col min="9229" max="9472" width="11.42578125" style="1"/>
    <col min="9473" max="9473" width="7.42578125" style="1" customWidth="1"/>
    <col min="9474" max="9474" width="20.28515625" style="1" customWidth="1"/>
    <col min="9475" max="9475" width="12.28515625" style="1" customWidth="1"/>
    <col min="9476" max="9476" width="32.7109375" style="1" customWidth="1"/>
    <col min="9477" max="9477" width="17.5703125" style="1" customWidth="1"/>
    <col min="9478" max="9478" width="49.42578125" style="1" customWidth="1"/>
    <col min="9479" max="9479" width="16.7109375" style="1" customWidth="1"/>
    <col min="9480" max="9480" width="9" style="1" customWidth="1"/>
    <col min="9481" max="9481" width="9.7109375" style="1" customWidth="1"/>
    <col min="9482" max="9482" width="18.28515625" style="1" customWidth="1"/>
    <col min="9483" max="9483" width="35.42578125" style="1" customWidth="1"/>
    <col min="9484" max="9484" width="17.42578125" style="1" bestFit="1" customWidth="1"/>
    <col min="9485" max="9728" width="11.42578125" style="1"/>
    <col min="9729" max="9729" width="7.42578125" style="1" customWidth="1"/>
    <col min="9730" max="9730" width="20.28515625" style="1" customWidth="1"/>
    <col min="9731" max="9731" width="12.28515625" style="1" customWidth="1"/>
    <col min="9732" max="9732" width="32.7109375" style="1" customWidth="1"/>
    <col min="9733" max="9733" width="17.5703125" style="1" customWidth="1"/>
    <col min="9734" max="9734" width="49.42578125" style="1" customWidth="1"/>
    <col min="9735" max="9735" width="16.7109375" style="1" customWidth="1"/>
    <col min="9736" max="9736" width="9" style="1" customWidth="1"/>
    <col min="9737" max="9737" width="9.7109375" style="1" customWidth="1"/>
    <col min="9738" max="9738" width="18.28515625" style="1" customWidth="1"/>
    <col min="9739" max="9739" width="35.42578125" style="1" customWidth="1"/>
    <col min="9740" max="9740" width="17.42578125" style="1" bestFit="1" customWidth="1"/>
    <col min="9741" max="9984" width="11.42578125" style="1"/>
    <col min="9985" max="9985" width="7.42578125" style="1" customWidth="1"/>
    <col min="9986" max="9986" width="20.28515625" style="1" customWidth="1"/>
    <col min="9987" max="9987" width="12.28515625" style="1" customWidth="1"/>
    <col min="9988" max="9988" width="32.7109375" style="1" customWidth="1"/>
    <col min="9989" max="9989" width="17.5703125" style="1" customWidth="1"/>
    <col min="9990" max="9990" width="49.42578125" style="1" customWidth="1"/>
    <col min="9991" max="9991" width="16.7109375" style="1" customWidth="1"/>
    <col min="9992" max="9992" width="9" style="1" customWidth="1"/>
    <col min="9993" max="9993" width="9.7109375" style="1" customWidth="1"/>
    <col min="9994" max="9994" width="18.28515625" style="1" customWidth="1"/>
    <col min="9995" max="9995" width="35.42578125" style="1" customWidth="1"/>
    <col min="9996" max="9996" width="17.42578125" style="1" bestFit="1" customWidth="1"/>
    <col min="9997" max="10240" width="11.42578125" style="1"/>
    <col min="10241" max="10241" width="7.42578125" style="1" customWidth="1"/>
    <col min="10242" max="10242" width="20.28515625" style="1" customWidth="1"/>
    <col min="10243" max="10243" width="12.28515625" style="1" customWidth="1"/>
    <col min="10244" max="10244" width="32.7109375" style="1" customWidth="1"/>
    <col min="10245" max="10245" width="17.5703125" style="1" customWidth="1"/>
    <col min="10246" max="10246" width="49.42578125" style="1" customWidth="1"/>
    <col min="10247" max="10247" width="16.7109375" style="1" customWidth="1"/>
    <col min="10248" max="10248" width="9" style="1" customWidth="1"/>
    <col min="10249" max="10249" width="9.7109375" style="1" customWidth="1"/>
    <col min="10250" max="10250" width="18.28515625" style="1" customWidth="1"/>
    <col min="10251" max="10251" width="35.42578125" style="1" customWidth="1"/>
    <col min="10252" max="10252" width="17.42578125" style="1" bestFit="1" customWidth="1"/>
    <col min="10253" max="10496" width="11.42578125" style="1"/>
    <col min="10497" max="10497" width="7.42578125" style="1" customWidth="1"/>
    <col min="10498" max="10498" width="20.28515625" style="1" customWidth="1"/>
    <col min="10499" max="10499" width="12.28515625" style="1" customWidth="1"/>
    <col min="10500" max="10500" width="32.7109375" style="1" customWidth="1"/>
    <col min="10501" max="10501" width="17.5703125" style="1" customWidth="1"/>
    <col min="10502" max="10502" width="49.42578125" style="1" customWidth="1"/>
    <col min="10503" max="10503" width="16.7109375" style="1" customWidth="1"/>
    <col min="10504" max="10504" width="9" style="1" customWidth="1"/>
    <col min="10505" max="10505" width="9.7109375" style="1" customWidth="1"/>
    <col min="10506" max="10506" width="18.28515625" style="1" customWidth="1"/>
    <col min="10507" max="10507" width="35.42578125" style="1" customWidth="1"/>
    <col min="10508" max="10508" width="17.42578125" style="1" bestFit="1" customWidth="1"/>
    <col min="10509" max="10752" width="11.42578125" style="1"/>
    <col min="10753" max="10753" width="7.42578125" style="1" customWidth="1"/>
    <col min="10754" max="10754" width="20.28515625" style="1" customWidth="1"/>
    <col min="10755" max="10755" width="12.28515625" style="1" customWidth="1"/>
    <col min="10756" max="10756" width="32.7109375" style="1" customWidth="1"/>
    <col min="10757" max="10757" width="17.5703125" style="1" customWidth="1"/>
    <col min="10758" max="10758" width="49.42578125" style="1" customWidth="1"/>
    <col min="10759" max="10759" width="16.7109375" style="1" customWidth="1"/>
    <col min="10760" max="10760" width="9" style="1" customWidth="1"/>
    <col min="10761" max="10761" width="9.7109375" style="1" customWidth="1"/>
    <col min="10762" max="10762" width="18.28515625" style="1" customWidth="1"/>
    <col min="10763" max="10763" width="35.42578125" style="1" customWidth="1"/>
    <col min="10764" max="10764" width="17.42578125" style="1" bestFit="1" customWidth="1"/>
    <col min="10765" max="11008" width="11.42578125" style="1"/>
    <col min="11009" max="11009" width="7.42578125" style="1" customWidth="1"/>
    <col min="11010" max="11010" width="20.28515625" style="1" customWidth="1"/>
    <col min="11011" max="11011" width="12.28515625" style="1" customWidth="1"/>
    <col min="11012" max="11012" width="32.7109375" style="1" customWidth="1"/>
    <col min="11013" max="11013" width="17.5703125" style="1" customWidth="1"/>
    <col min="11014" max="11014" width="49.42578125" style="1" customWidth="1"/>
    <col min="11015" max="11015" width="16.7109375" style="1" customWidth="1"/>
    <col min="11016" max="11016" width="9" style="1" customWidth="1"/>
    <col min="11017" max="11017" width="9.7109375" style="1" customWidth="1"/>
    <col min="11018" max="11018" width="18.28515625" style="1" customWidth="1"/>
    <col min="11019" max="11019" width="35.42578125" style="1" customWidth="1"/>
    <col min="11020" max="11020" width="17.42578125" style="1" bestFit="1" customWidth="1"/>
    <col min="11021" max="11264" width="11.42578125" style="1"/>
    <col min="11265" max="11265" width="7.42578125" style="1" customWidth="1"/>
    <col min="11266" max="11266" width="20.28515625" style="1" customWidth="1"/>
    <col min="11267" max="11267" width="12.28515625" style="1" customWidth="1"/>
    <col min="11268" max="11268" width="32.7109375" style="1" customWidth="1"/>
    <col min="11269" max="11269" width="17.5703125" style="1" customWidth="1"/>
    <col min="11270" max="11270" width="49.42578125" style="1" customWidth="1"/>
    <col min="11271" max="11271" width="16.7109375" style="1" customWidth="1"/>
    <col min="11272" max="11272" width="9" style="1" customWidth="1"/>
    <col min="11273" max="11273" width="9.7109375" style="1" customWidth="1"/>
    <col min="11274" max="11274" width="18.28515625" style="1" customWidth="1"/>
    <col min="11275" max="11275" width="35.42578125" style="1" customWidth="1"/>
    <col min="11276" max="11276" width="17.42578125" style="1" bestFit="1" customWidth="1"/>
    <col min="11277" max="11520" width="11.42578125" style="1"/>
    <col min="11521" max="11521" width="7.42578125" style="1" customWidth="1"/>
    <col min="11522" max="11522" width="20.28515625" style="1" customWidth="1"/>
    <col min="11523" max="11523" width="12.28515625" style="1" customWidth="1"/>
    <col min="11524" max="11524" width="32.7109375" style="1" customWidth="1"/>
    <col min="11525" max="11525" width="17.5703125" style="1" customWidth="1"/>
    <col min="11526" max="11526" width="49.42578125" style="1" customWidth="1"/>
    <col min="11527" max="11527" width="16.7109375" style="1" customWidth="1"/>
    <col min="11528" max="11528" width="9" style="1" customWidth="1"/>
    <col min="11529" max="11529" width="9.7109375" style="1" customWidth="1"/>
    <col min="11530" max="11530" width="18.28515625" style="1" customWidth="1"/>
    <col min="11531" max="11531" width="35.42578125" style="1" customWidth="1"/>
    <col min="11532" max="11532" width="17.42578125" style="1" bestFit="1" customWidth="1"/>
    <col min="11533" max="11776" width="11.42578125" style="1"/>
    <col min="11777" max="11777" width="7.42578125" style="1" customWidth="1"/>
    <col min="11778" max="11778" width="20.28515625" style="1" customWidth="1"/>
    <col min="11779" max="11779" width="12.28515625" style="1" customWidth="1"/>
    <col min="11780" max="11780" width="32.7109375" style="1" customWidth="1"/>
    <col min="11781" max="11781" width="17.5703125" style="1" customWidth="1"/>
    <col min="11782" max="11782" width="49.42578125" style="1" customWidth="1"/>
    <col min="11783" max="11783" width="16.7109375" style="1" customWidth="1"/>
    <col min="11784" max="11784" width="9" style="1" customWidth="1"/>
    <col min="11785" max="11785" width="9.7109375" style="1" customWidth="1"/>
    <col min="11786" max="11786" width="18.28515625" style="1" customWidth="1"/>
    <col min="11787" max="11787" width="35.42578125" style="1" customWidth="1"/>
    <col min="11788" max="11788" width="17.42578125" style="1" bestFit="1" customWidth="1"/>
    <col min="11789" max="12032" width="11.42578125" style="1"/>
    <col min="12033" max="12033" width="7.42578125" style="1" customWidth="1"/>
    <col min="12034" max="12034" width="20.28515625" style="1" customWidth="1"/>
    <col min="12035" max="12035" width="12.28515625" style="1" customWidth="1"/>
    <col min="12036" max="12036" width="32.7109375" style="1" customWidth="1"/>
    <col min="12037" max="12037" width="17.5703125" style="1" customWidth="1"/>
    <col min="12038" max="12038" width="49.42578125" style="1" customWidth="1"/>
    <col min="12039" max="12039" width="16.7109375" style="1" customWidth="1"/>
    <col min="12040" max="12040" width="9" style="1" customWidth="1"/>
    <col min="12041" max="12041" width="9.7109375" style="1" customWidth="1"/>
    <col min="12042" max="12042" width="18.28515625" style="1" customWidth="1"/>
    <col min="12043" max="12043" width="35.42578125" style="1" customWidth="1"/>
    <col min="12044" max="12044" width="17.42578125" style="1" bestFit="1" customWidth="1"/>
    <col min="12045" max="12288" width="11.42578125" style="1"/>
    <col min="12289" max="12289" width="7.42578125" style="1" customWidth="1"/>
    <col min="12290" max="12290" width="20.28515625" style="1" customWidth="1"/>
    <col min="12291" max="12291" width="12.28515625" style="1" customWidth="1"/>
    <col min="12292" max="12292" width="32.7109375" style="1" customWidth="1"/>
    <col min="12293" max="12293" width="17.5703125" style="1" customWidth="1"/>
    <col min="12294" max="12294" width="49.42578125" style="1" customWidth="1"/>
    <col min="12295" max="12295" width="16.7109375" style="1" customWidth="1"/>
    <col min="12296" max="12296" width="9" style="1" customWidth="1"/>
    <col min="12297" max="12297" width="9.7109375" style="1" customWidth="1"/>
    <col min="12298" max="12298" width="18.28515625" style="1" customWidth="1"/>
    <col min="12299" max="12299" width="35.42578125" style="1" customWidth="1"/>
    <col min="12300" max="12300" width="17.42578125" style="1" bestFit="1" customWidth="1"/>
    <col min="12301" max="12544" width="11.42578125" style="1"/>
    <col min="12545" max="12545" width="7.42578125" style="1" customWidth="1"/>
    <col min="12546" max="12546" width="20.28515625" style="1" customWidth="1"/>
    <col min="12547" max="12547" width="12.28515625" style="1" customWidth="1"/>
    <col min="12548" max="12548" width="32.7109375" style="1" customWidth="1"/>
    <col min="12549" max="12549" width="17.5703125" style="1" customWidth="1"/>
    <col min="12550" max="12550" width="49.42578125" style="1" customWidth="1"/>
    <col min="12551" max="12551" width="16.7109375" style="1" customWidth="1"/>
    <col min="12552" max="12552" width="9" style="1" customWidth="1"/>
    <col min="12553" max="12553" width="9.7109375" style="1" customWidth="1"/>
    <col min="12554" max="12554" width="18.28515625" style="1" customWidth="1"/>
    <col min="12555" max="12555" width="35.42578125" style="1" customWidth="1"/>
    <col min="12556" max="12556" width="17.42578125" style="1" bestFit="1" customWidth="1"/>
    <col min="12557" max="12800" width="11.42578125" style="1"/>
    <col min="12801" max="12801" width="7.42578125" style="1" customWidth="1"/>
    <col min="12802" max="12802" width="20.28515625" style="1" customWidth="1"/>
    <col min="12803" max="12803" width="12.28515625" style="1" customWidth="1"/>
    <col min="12804" max="12804" width="32.7109375" style="1" customWidth="1"/>
    <col min="12805" max="12805" width="17.5703125" style="1" customWidth="1"/>
    <col min="12806" max="12806" width="49.42578125" style="1" customWidth="1"/>
    <col min="12807" max="12807" width="16.7109375" style="1" customWidth="1"/>
    <col min="12808" max="12808" width="9" style="1" customWidth="1"/>
    <col min="12809" max="12809" width="9.7109375" style="1" customWidth="1"/>
    <col min="12810" max="12810" width="18.28515625" style="1" customWidth="1"/>
    <col min="12811" max="12811" width="35.42578125" style="1" customWidth="1"/>
    <col min="12812" max="12812" width="17.42578125" style="1" bestFit="1" customWidth="1"/>
    <col min="12813" max="13056" width="11.42578125" style="1"/>
    <col min="13057" max="13057" width="7.42578125" style="1" customWidth="1"/>
    <col min="13058" max="13058" width="20.28515625" style="1" customWidth="1"/>
    <col min="13059" max="13059" width="12.28515625" style="1" customWidth="1"/>
    <col min="13060" max="13060" width="32.7109375" style="1" customWidth="1"/>
    <col min="13061" max="13061" width="17.5703125" style="1" customWidth="1"/>
    <col min="13062" max="13062" width="49.42578125" style="1" customWidth="1"/>
    <col min="13063" max="13063" width="16.7109375" style="1" customWidth="1"/>
    <col min="13064" max="13064" width="9" style="1" customWidth="1"/>
    <col min="13065" max="13065" width="9.7109375" style="1" customWidth="1"/>
    <col min="13066" max="13066" width="18.28515625" style="1" customWidth="1"/>
    <col min="13067" max="13067" width="35.42578125" style="1" customWidth="1"/>
    <col min="13068" max="13068" width="17.42578125" style="1" bestFit="1" customWidth="1"/>
    <col min="13069" max="13312" width="11.42578125" style="1"/>
    <col min="13313" max="13313" width="7.42578125" style="1" customWidth="1"/>
    <col min="13314" max="13314" width="20.28515625" style="1" customWidth="1"/>
    <col min="13315" max="13315" width="12.28515625" style="1" customWidth="1"/>
    <col min="13316" max="13316" width="32.7109375" style="1" customWidth="1"/>
    <col min="13317" max="13317" width="17.5703125" style="1" customWidth="1"/>
    <col min="13318" max="13318" width="49.42578125" style="1" customWidth="1"/>
    <col min="13319" max="13319" width="16.7109375" style="1" customWidth="1"/>
    <col min="13320" max="13320" width="9" style="1" customWidth="1"/>
    <col min="13321" max="13321" width="9.7109375" style="1" customWidth="1"/>
    <col min="13322" max="13322" width="18.28515625" style="1" customWidth="1"/>
    <col min="13323" max="13323" width="35.42578125" style="1" customWidth="1"/>
    <col min="13324" max="13324" width="17.42578125" style="1" bestFit="1" customWidth="1"/>
    <col min="13325" max="13568" width="11.42578125" style="1"/>
    <col min="13569" max="13569" width="7.42578125" style="1" customWidth="1"/>
    <col min="13570" max="13570" width="20.28515625" style="1" customWidth="1"/>
    <col min="13571" max="13571" width="12.28515625" style="1" customWidth="1"/>
    <col min="13572" max="13572" width="32.7109375" style="1" customWidth="1"/>
    <col min="13573" max="13573" width="17.5703125" style="1" customWidth="1"/>
    <col min="13574" max="13574" width="49.42578125" style="1" customWidth="1"/>
    <col min="13575" max="13575" width="16.7109375" style="1" customWidth="1"/>
    <col min="13576" max="13576" width="9" style="1" customWidth="1"/>
    <col min="13577" max="13577" width="9.7109375" style="1" customWidth="1"/>
    <col min="13578" max="13578" width="18.28515625" style="1" customWidth="1"/>
    <col min="13579" max="13579" width="35.42578125" style="1" customWidth="1"/>
    <col min="13580" max="13580" width="17.42578125" style="1" bestFit="1" customWidth="1"/>
    <col min="13581" max="13824" width="11.42578125" style="1"/>
    <col min="13825" max="13825" width="7.42578125" style="1" customWidth="1"/>
    <col min="13826" max="13826" width="20.28515625" style="1" customWidth="1"/>
    <col min="13827" max="13827" width="12.28515625" style="1" customWidth="1"/>
    <col min="13828" max="13828" width="32.7109375" style="1" customWidth="1"/>
    <col min="13829" max="13829" width="17.5703125" style="1" customWidth="1"/>
    <col min="13830" max="13830" width="49.42578125" style="1" customWidth="1"/>
    <col min="13831" max="13831" width="16.7109375" style="1" customWidth="1"/>
    <col min="13832" max="13832" width="9" style="1" customWidth="1"/>
    <col min="13833" max="13833" width="9.7109375" style="1" customWidth="1"/>
    <col min="13834" max="13834" width="18.28515625" style="1" customWidth="1"/>
    <col min="13835" max="13835" width="35.42578125" style="1" customWidth="1"/>
    <col min="13836" max="13836" width="17.42578125" style="1" bestFit="1" customWidth="1"/>
    <col min="13837" max="14080" width="11.42578125" style="1"/>
    <col min="14081" max="14081" width="7.42578125" style="1" customWidth="1"/>
    <col min="14082" max="14082" width="20.28515625" style="1" customWidth="1"/>
    <col min="14083" max="14083" width="12.28515625" style="1" customWidth="1"/>
    <col min="14084" max="14084" width="32.7109375" style="1" customWidth="1"/>
    <col min="14085" max="14085" width="17.5703125" style="1" customWidth="1"/>
    <col min="14086" max="14086" width="49.42578125" style="1" customWidth="1"/>
    <col min="14087" max="14087" width="16.7109375" style="1" customWidth="1"/>
    <col min="14088" max="14088" width="9" style="1" customWidth="1"/>
    <col min="14089" max="14089" width="9.7109375" style="1" customWidth="1"/>
    <col min="14090" max="14090" width="18.28515625" style="1" customWidth="1"/>
    <col min="14091" max="14091" width="35.42578125" style="1" customWidth="1"/>
    <col min="14092" max="14092" width="17.42578125" style="1" bestFit="1" customWidth="1"/>
    <col min="14093" max="14336" width="11.42578125" style="1"/>
    <col min="14337" max="14337" width="7.42578125" style="1" customWidth="1"/>
    <col min="14338" max="14338" width="20.28515625" style="1" customWidth="1"/>
    <col min="14339" max="14339" width="12.28515625" style="1" customWidth="1"/>
    <col min="14340" max="14340" width="32.7109375" style="1" customWidth="1"/>
    <col min="14341" max="14341" width="17.5703125" style="1" customWidth="1"/>
    <col min="14342" max="14342" width="49.42578125" style="1" customWidth="1"/>
    <col min="14343" max="14343" width="16.7109375" style="1" customWidth="1"/>
    <col min="14344" max="14344" width="9" style="1" customWidth="1"/>
    <col min="14345" max="14345" width="9.7109375" style="1" customWidth="1"/>
    <col min="14346" max="14346" width="18.28515625" style="1" customWidth="1"/>
    <col min="14347" max="14347" width="35.42578125" style="1" customWidth="1"/>
    <col min="14348" max="14348" width="17.42578125" style="1" bestFit="1" customWidth="1"/>
    <col min="14349" max="14592" width="11.42578125" style="1"/>
    <col min="14593" max="14593" width="7.42578125" style="1" customWidth="1"/>
    <col min="14594" max="14594" width="20.28515625" style="1" customWidth="1"/>
    <col min="14595" max="14595" width="12.28515625" style="1" customWidth="1"/>
    <col min="14596" max="14596" width="32.7109375" style="1" customWidth="1"/>
    <col min="14597" max="14597" width="17.5703125" style="1" customWidth="1"/>
    <col min="14598" max="14598" width="49.42578125" style="1" customWidth="1"/>
    <col min="14599" max="14599" width="16.7109375" style="1" customWidth="1"/>
    <col min="14600" max="14600" width="9" style="1" customWidth="1"/>
    <col min="14601" max="14601" width="9.7109375" style="1" customWidth="1"/>
    <col min="14602" max="14602" width="18.28515625" style="1" customWidth="1"/>
    <col min="14603" max="14603" width="35.42578125" style="1" customWidth="1"/>
    <col min="14604" max="14604" width="17.42578125" style="1" bestFit="1" customWidth="1"/>
    <col min="14605" max="14848" width="11.42578125" style="1"/>
    <col min="14849" max="14849" width="7.42578125" style="1" customWidth="1"/>
    <col min="14850" max="14850" width="20.28515625" style="1" customWidth="1"/>
    <col min="14851" max="14851" width="12.28515625" style="1" customWidth="1"/>
    <col min="14852" max="14852" width="32.7109375" style="1" customWidth="1"/>
    <col min="14853" max="14853" width="17.5703125" style="1" customWidth="1"/>
    <col min="14854" max="14854" width="49.42578125" style="1" customWidth="1"/>
    <col min="14855" max="14855" width="16.7109375" style="1" customWidth="1"/>
    <col min="14856" max="14856" width="9" style="1" customWidth="1"/>
    <col min="14857" max="14857" width="9.7109375" style="1" customWidth="1"/>
    <col min="14858" max="14858" width="18.28515625" style="1" customWidth="1"/>
    <col min="14859" max="14859" width="35.42578125" style="1" customWidth="1"/>
    <col min="14860" max="14860" width="17.42578125" style="1" bestFit="1" customWidth="1"/>
    <col min="14861" max="15104" width="11.42578125" style="1"/>
    <col min="15105" max="15105" width="7.42578125" style="1" customWidth="1"/>
    <col min="15106" max="15106" width="20.28515625" style="1" customWidth="1"/>
    <col min="15107" max="15107" width="12.28515625" style="1" customWidth="1"/>
    <col min="15108" max="15108" width="32.7109375" style="1" customWidth="1"/>
    <col min="15109" max="15109" width="17.5703125" style="1" customWidth="1"/>
    <col min="15110" max="15110" width="49.42578125" style="1" customWidth="1"/>
    <col min="15111" max="15111" width="16.7109375" style="1" customWidth="1"/>
    <col min="15112" max="15112" width="9" style="1" customWidth="1"/>
    <col min="15113" max="15113" width="9.7109375" style="1" customWidth="1"/>
    <col min="15114" max="15114" width="18.28515625" style="1" customWidth="1"/>
    <col min="15115" max="15115" width="35.42578125" style="1" customWidth="1"/>
    <col min="15116" max="15116" width="17.42578125" style="1" bestFit="1" customWidth="1"/>
    <col min="15117" max="15360" width="11.42578125" style="1"/>
    <col min="15361" max="15361" width="7.42578125" style="1" customWidth="1"/>
    <col min="15362" max="15362" width="20.28515625" style="1" customWidth="1"/>
    <col min="15363" max="15363" width="12.28515625" style="1" customWidth="1"/>
    <col min="15364" max="15364" width="32.7109375" style="1" customWidth="1"/>
    <col min="15365" max="15365" width="17.5703125" style="1" customWidth="1"/>
    <col min="15366" max="15366" width="49.42578125" style="1" customWidth="1"/>
    <col min="15367" max="15367" width="16.7109375" style="1" customWidth="1"/>
    <col min="15368" max="15368" width="9" style="1" customWidth="1"/>
    <col min="15369" max="15369" width="9.7109375" style="1" customWidth="1"/>
    <col min="15370" max="15370" width="18.28515625" style="1" customWidth="1"/>
    <col min="15371" max="15371" width="35.42578125" style="1" customWidth="1"/>
    <col min="15372" max="15372" width="17.42578125" style="1" bestFit="1" customWidth="1"/>
    <col min="15373" max="15616" width="11.42578125" style="1"/>
    <col min="15617" max="15617" width="7.42578125" style="1" customWidth="1"/>
    <col min="15618" max="15618" width="20.28515625" style="1" customWidth="1"/>
    <col min="15619" max="15619" width="12.28515625" style="1" customWidth="1"/>
    <col min="15620" max="15620" width="32.7109375" style="1" customWidth="1"/>
    <col min="15621" max="15621" width="17.5703125" style="1" customWidth="1"/>
    <col min="15622" max="15622" width="49.42578125" style="1" customWidth="1"/>
    <col min="15623" max="15623" width="16.7109375" style="1" customWidth="1"/>
    <col min="15624" max="15624" width="9" style="1" customWidth="1"/>
    <col min="15625" max="15625" width="9.7109375" style="1" customWidth="1"/>
    <col min="15626" max="15626" width="18.28515625" style="1" customWidth="1"/>
    <col min="15627" max="15627" width="35.42578125" style="1" customWidth="1"/>
    <col min="15628" max="15628" width="17.42578125" style="1" bestFit="1" customWidth="1"/>
    <col min="15629" max="15872" width="11.42578125" style="1"/>
    <col min="15873" max="15873" width="7.42578125" style="1" customWidth="1"/>
    <col min="15874" max="15874" width="20.28515625" style="1" customWidth="1"/>
    <col min="15875" max="15875" width="12.28515625" style="1" customWidth="1"/>
    <col min="15876" max="15876" width="32.7109375" style="1" customWidth="1"/>
    <col min="15877" max="15877" width="17.5703125" style="1" customWidth="1"/>
    <col min="15878" max="15878" width="49.42578125" style="1" customWidth="1"/>
    <col min="15879" max="15879" width="16.7109375" style="1" customWidth="1"/>
    <col min="15880" max="15880" width="9" style="1" customWidth="1"/>
    <col min="15881" max="15881" width="9.7109375" style="1" customWidth="1"/>
    <col min="15882" max="15882" width="18.28515625" style="1" customWidth="1"/>
    <col min="15883" max="15883" width="35.42578125" style="1" customWidth="1"/>
    <col min="15884" max="15884" width="17.42578125" style="1" bestFit="1" customWidth="1"/>
    <col min="15885" max="16128" width="11.42578125" style="1"/>
    <col min="16129" max="16129" width="7.42578125" style="1" customWidth="1"/>
    <col min="16130" max="16130" width="20.28515625" style="1" customWidth="1"/>
    <col min="16131" max="16131" width="12.28515625" style="1" customWidth="1"/>
    <col min="16132" max="16132" width="32.7109375" style="1" customWidth="1"/>
    <col min="16133" max="16133" width="17.5703125" style="1" customWidth="1"/>
    <col min="16134" max="16134" width="49.42578125" style="1" customWidth="1"/>
    <col min="16135" max="16135" width="16.7109375" style="1" customWidth="1"/>
    <col min="16136" max="16136" width="9" style="1" customWidth="1"/>
    <col min="16137" max="16137" width="9.7109375" style="1" customWidth="1"/>
    <col min="16138" max="16138" width="18.28515625" style="1" customWidth="1"/>
    <col min="16139" max="16139" width="35.42578125" style="1" customWidth="1"/>
    <col min="16140" max="16140" width="17.42578125" style="1" bestFit="1" customWidth="1"/>
    <col min="16141" max="16384" width="11.42578125" style="1"/>
  </cols>
  <sheetData>
    <row r="1" spans="1:12" ht="18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25">
      <c r="G3" s="1"/>
    </row>
    <row r="4" spans="1:12" s="10" customFormat="1" ht="38.25" x14ac:dyDescent="0.25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8" t="s">
        <v>12</v>
      </c>
      <c r="L4" s="9" t="s">
        <v>13</v>
      </c>
    </row>
    <row r="5" spans="1:12" s="10" customFormat="1" ht="18" x14ac:dyDescent="0.25">
      <c r="A5" s="11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>
        <v>1</v>
      </c>
      <c r="J5" s="12" t="s">
        <v>21</v>
      </c>
      <c r="K5" s="12" t="s">
        <v>22</v>
      </c>
      <c r="L5" s="13">
        <v>50</v>
      </c>
    </row>
    <row r="6" spans="1:12" s="10" customFormat="1" ht="18" x14ac:dyDescent="0.25">
      <c r="A6" s="11">
        <v>2</v>
      </c>
      <c r="B6" s="12" t="s">
        <v>14</v>
      </c>
      <c r="C6" s="12" t="s">
        <v>15</v>
      </c>
      <c r="D6" s="12" t="s">
        <v>23</v>
      </c>
      <c r="E6" s="12" t="s">
        <v>24</v>
      </c>
      <c r="F6" s="12" t="s">
        <v>18</v>
      </c>
      <c r="G6" s="12" t="s">
        <v>19</v>
      </c>
      <c r="H6" s="12" t="s">
        <v>20</v>
      </c>
      <c r="I6" s="12">
        <v>1</v>
      </c>
      <c r="J6" s="12" t="s">
        <v>21</v>
      </c>
      <c r="K6" s="12" t="s">
        <v>22</v>
      </c>
      <c r="L6" s="13">
        <v>50</v>
      </c>
    </row>
    <row r="7" spans="1:12" s="10" customFormat="1" ht="18" x14ac:dyDescent="0.25">
      <c r="A7" s="11">
        <v>3</v>
      </c>
      <c r="B7" s="12" t="s">
        <v>14</v>
      </c>
      <c r="C7" s="12" t="s">
        <v>15</v>
      </c>
      <c r="D7" s="12" t="s">
        <v>25</v>
      </c>
      <c r="E7" s="12" t="s">
        <v>26</v>
      </c>
      <c r="F7" s="12" t="s">
        <v>18</v>
      </c>
      <c r="G7" s="12" t="s">
        <v>19</v>
      </c>
      <c r="H7" s="12" t="s">
        <v>20</v>
      </c>
      <c r="I7" s="12">
        <v>1</v>
      </c>
      <c r="J7" s="12" t="s">
        <v>21</v>
      </c>
      <c r="K7" s="12" t="s">
        <v>22</v>
      </c>
      <c r="L7" s="13">
        <v>50</v>
      </c>
    </row>
    <row r="8" spans="1:12" s="10" customFormat="1" ht="18" x14ac:dyDescent="0.25">
      <c r="A8" s="11">
        <v>4</v>
      </c>
      <c r="B8" s="12" t="s">
        <v>14</v>
      </c>
      <c r="C8" s="12" t="s">
        <v>15</v>
      </c>
      <c r="D8" s="12" t="s">
        <v>27</v>
      </c>
      <c r="E8" s="12" t="s">
        <v>28</v>
      </c>
      <c r="F8" s="12" t="s">
        <v>18</v>
      </c>
      <c r="G8" s="12" t="s">
        <v>19</v>
      </c>
      <c r="H8" s="12" t="s">
        <v>20</v>
      </c>
      <c r="I8" s="12">
        <v>1</v>
      </c>
      <c r="J8" s="12" t="s">
        <v>21</v>
      </c>
      <c r="K8" s="12" t="s">
        <v>22</v>
      </c>
      <c r="L8" s="13">
        <v>50</v>
      </c>
    </row>
    <row r="9" spans="1:12" s="10" customFormat="1" ht="18" x14ac:dyDescent="0.25">
      <c r="A9" s="11">
        <v>5</v>
      </c>
      <c r="B9" s="12" t="s">
        <v>14</v>
      </c>
      <c r="C9" s="12" t="s">
        <v>15</v>
      </c>
      <c r="D9" s="12" t="s">
        <v>29</v>
      </c>
      <c r="E9" s="12" t="s">
        <v>30</v>
      </c>
      <c r="F9" s="12" t="s">
        <v>18</v>
      </c>
      <c r="G9" s="12" t="s">
        <v>19</v>
      </c>
      <c r="H9" s="12" t="s">
        <v>20</v>
      </c>
      <c r="I9" s="12">
        <v>1</v>
      </c>
      <c r="J9" s="12" t="s">
        <v>21</v>
      </c>
      <c r="K9" s="12" t="s">
        <v>22</v>
      </c>
      <c r="L9" s="13">
        <v>50</v>
      </c>
    </row>
    <row r="10" spans="1:12" s="10" customFormat="1" ht="18" x14ac:dyDescent="0.25">
      <c r="A10" s="11">
        <v>6</v>
      </c>
      <c r="B10" s="12" t="s">
        <v>14</v>
      </c>
      <c r="C10" s="12" t="s">
        <v>15</v>
      </c>
      <c r="D10" s="12" t="s">
        <v>31</v>
      </c>
      <c r="E10" s="12" t="s">
        <v>32</v>
      </c>
      <c r="F10" s="12" t="s">
        <v>18</v>
      </c>
      <c r="G10" s="12" t="s">
        <v>19</v>
      </c>
      <c r="H10" s="12" t="s">
        <v>20</v>
      </c>
      <c r="I10" s="12">
        <v>1</v>
      </c>
      <c r="J10" s="12" t="s">
        <v>21</v>
      </c>
      <c r="K10" s="12" t="s">
        <v>22</v>
      </c>
      <c r="L10" s="13">
        <v>50</v>
      </c>
    </row>
    <row r="11" spans="1:12" s="10" customFormat="1" ht="18" x14ac:dyDescent="0.25">
      <c r="A11" s="11">
        <v>7</v>
      </c>
      <c r="B11" s="12" t="s">
        <v>14</v>
      </c>
      <c r="C11" s="12" t="s">
        <v>15</v>
      </c>
      <c r="D11" s="12" t="s">
        <v>33</v>
      </c>
      <c r="E11" s="12" t="s">
        <v>34</v>
      </c>
      <c r="F11" s="12" t="s">
        <v>18</v>
      </c>
      <c r="G11" s="12" t="s">
        <v>19</v>
      </c>
      <c r="H11" s="12" t="s">
        <v>20</v>
      </c>
      <c r="I11" s="12">
        <v>1</v>
      </c>
      <c r="J11" s="12" t="s">
        <v>21</v>
      </c>
      <c r="K11" s="12" t="s">
        <v>22</v>
      </c>
      <c r="L11" s="13">
        <v>50</v>
      </c>
    </row>
    <row r="12" spans="1:12" s="10" customFormat="1" ht="18" x14ac:dyDescent="0.25">
      <c r="A12" s="11">
        <v>8</v>
      </c>
      <c r="B12" s="12" t="s">
        <v>14</v>
      </c>
      <c r="C12" s="12" t="s">
        <v>15</v>
      </c>
      <c r="D12" s="12" t="s">
        <v>35</v>
      </c>
      <c r="E12" s="12" t="s">
        <v>36</v>
      </c>
      <c r="F12" s="12" t="s">
        <v>37</v>
      </c>
      <c r="G12" s="12" t="s">
        <v>19</v>
      </c>
      <c r="H12" s="12" t="s">
        <v>20</v>
      </c>
      <c r="I12" s="12">
        <v>1</v>
      </c>
      <c r="J12" s="12" t="s">
        <v>21</v>
      </c>
      <c r="K12" s="12" t="s">
        <v>22</v>
      </c>
      <c r="L12" s="13">
        <v>50</v>
      </c>
    </row>
    <row r="13" spans="1:12" s="10" customFormat="1" ht="18" x14ac:dyDescent="0.25">
      <c r="A13" s="11">
        <v>9</v>
      </c>
      <c r="B13" s="12" t="s">
        <v>14</v>
      </c>
      <c r="C13" s="12" t="s">
        <v>15</v>
      </c>
      <c r="D13" s="12" t="s">
        <v>38</v>
      </c>
      <c r="E13" s="12" t="s">
        <v>39</v>
      </c>
      <c r="F13" s="12" t="s">
        <v>37</v>
      </c>
      <c r="G13" s="12" t="s">
        <v>19</v>
      </c>
      <c r="H13" s="12" t="s">
        <v>20</v>
      </c>
      <c r="I13" s="12">
        <v>1</v>
      </c>
      <c r="J13" s="12" t="s">
        <v>21</v>
      </c>
      <c r="K13" s="12" t="s">
        <v>22</v>
      </c>
      <c r="L13" s="13">
        <v>50</v>
      </c>
    </row>
    <row r="14" spans="1:12" s="10" customFormat="1" ht="18" x14ac:dyDescent="0.25">
      <c r="A14" s="11">
        <v>10</v>
      </c>
      <c r="B14" s="12" t="s">
        <v>14</v>
      </c>
      <c r="C14" s="12" t="s">
        <v>15</v>
      </c>
      <c r="D14" s="12" t="s">
        <v>40</v>
      </c>
      <c r="E14" s="12" t="s">
        <v>41</v>
      </c>
      <c r="F14" s="12" t="s">
        <v>37</v>
      </c>
      <c r="G14" s="12" t="s">
        <v>19</v>
      </c>
      <c r="H14" s="12" t="s">
        <v>20</v>
      </c>
      <c r="I14" s="12">
        <v>1</v>
      </c>
      <c r="J14" s="12" t="s">
        <v>21</v>
      </c>
      <c r="K14" s="12" t="s">
        <v>22</v>
      </c>
      <c r="L14" s="13">
        <v>50</v>
      </c>
    </row>
    <row r="15" spans="1:12" s="10" customFormat="1" ht="18" x14ac:dyDescent="0.25">
      <c r="A15" s="11">
        <v>11</v>
      </c>
      <c r="B15" s="12" t="s">
        <v>14</v>
      </c>
      <c r="C15" s="12" t="s">
        <v>15</v>
      </c>
      <c r="D15" s="12" t="s">
        <v>42</v>
      </c>
      <c r="E15" s="12" t="s">
        <v>43</v>
      </c>
      <c r="F15" s="12" t="s">
        <v>37</v>
      </c>
      <c r="G15" s="12" t="s">
        <v>19</v>
      </c>
      <c r="H15" s="12" t="s">
        <v>20</v>
      </c>
      <c r="I15" s="12">
        <v>1</v>
      </c>
      <c r="J15" s="12" t="s">
        <v>21</v>
      </c>
      <c r="K15" s="12" t="s">
        <v>22</v>
      </c>
      <c r="L15" s="13">
        <v>50</v>
      </c>
    </row>
    <row r="16" spans="1:12" s="10" customFormat="1" ht="18" x14ac:dyDescent="0.25">
      <c r="A16" s="11">
        <v>12</v>
      </c>
      <c r="B16" s="12" t="s">
        <v>14</v>
      </c>
      <c r="C16" s="12" t="s">
        <v>15</v>
      </c>
      <c r="D16" s="12" t="s">
        <v>44</v>
      </c>
      <c r="E16" s="12" t="s">
        <v>45</v>
      </c>
      <c r="F16" s="12" t="s">
        <v>37</v>
      </c>
      <c r="G16" s="12" t="s">
        <v>19</v>
      </c>
      <c r="H16" s="12" t="s">
        <v>20</v>
      </c>
      <c r="I16" s="12">
        <v>1</v>
      </c>
      <c r="J16" s="12" t="s">
        <v>21</v>
      </c>
      <c r="K16" s="12" t="s">
        <v>22</v>
      </c>
      <c r="L16" s="13">
        <v>50</v>
      </c>
    </row>
    <row r="17" spans="1:12" s="10" customFormat="1" ht="18" x14ac:dyDescent="0.25">
      <c r="A17" s="11">
        <v>13</v>
      </c>
      <c r="B17" s="12" t="s">
        <v>14</v>
      </c>
      <c r="C17" s="12" t="s">
        <v>15</v>
      </c>
      <c r="D17" s="12" t="s">
        <v>46</v>
      </c>
      <c r="E17" s="12" t="s">
        <v>47</v>
      </c>
      <c r="F17" s="12" t="s">
        <v>37</v>
      </c>
      <c r="G17" s="12" t="s">
        <v>19</v>
      </c>
      <c r="H17" s="12" t="s">
        <v>20</v>
      </c>
      <c r="I17" s="12">
        <v>1</v>
      </c>
      <c r="J17" s="12" t="s">
        <v>21</v>
      </c>
      <c r="K17" s="12" t="s">
        <v>22</v>
      </c>
      <c r="L17" s="13">
        <v>50</v>
      </c>
    </row>
    <row r="18" spans="1:12" s="10" customFormat="1" ht="18" x14ac:dyDescent="0.25">
      <c r="A18" s="11">
        <v>14</v>
      </c>
      <c r="B18" s="12" t="s">
        <v>14</v>
      </c>
      <c r="C18" s="12" t="s">
        <v>15</v>
      </c>
      <c r="D18" s="12" t="s">
        <v>48</v>
      </c>
      <c r="E18" s="12" t="s">
        <v>49</v>
      </c>
      <c r="F18" s="12" t="s">
        <v>37</v>
      </c>
      <c r="G18" s="12" t="s">
        <v>19</v>
      </c>
      <c r="H18" s="12" t="s">
        <v>20</v>
      </c>
      <c r="I18" s="12">
        <v>1</v>
      </c>
      <c r="J18" s="12" t="s">
        <v>21</v>
      </c>
      <c r="K18" s="12" t="s">
        <v>22</v>
      </c>
      <c r="L18" s="13">
        <v>50</v>
      </c>
    </row>
    <row r="19" spans="1:12" s="10" customFormat="1" ht="18" x14ac:dyDescent="0.25">
      <c r="A19" s="11">
        <v>15</v>
      </c>
      <c r="B19" s="12" t="s">
        <v>14</v>
      </c>
      <c r="C19" s="12" t="s">
        <v>15</v>
      </c>
      <c r="D19" s="12" t="s">
        <v>50</v>
      </c>
      <c r="E19" s="12" t="s">
        <v>51</v>
      </c>
      <c r="F19" s="12" t="s">
        <v>37</v>
      </c>
      <c r="G19" s="12" t="s">
        <v>19</v>
      </c>
      <c r="H19" s="12" t="s">
        <v>20</v>
      </c>
      <c r="I19" s="12">
        <v>1</v>
      </c>
      <c r="J19" s="12" t="s">
        <v>21</v>
      </c>
      <c r="K19" s="12" t="s">
        <v>22</v>
      </c>
      <c r="L19" s="13">
        <v>50</v>
      </c>
    </row>
    <row r="20" spans="1:12" s="10" customFormat="1" ht="18" x14ac:dyDescent="0.25">
      <c r="A20" s="11">
        <v>16</v>
      </c>
      <c r="B20" s="12" t="s">
        <v>14</v>
      </c>
      <c r="C20" s="12" t="s">
        <v>15</v>
      </c>
      <c r="D20" s="12" t="s">
        <v>52</v>
      </c>
      <c r="E20" s="12" t="s">
        <v>53</v>
      </c>
      <c r="F20" s="12" t="s">
        <v>37</v>
      </c>
      <c r="G20" s="12" t="s">
        <v>19</v>
      </c>
      <c r="H20" s="12" t="s">
        <v>20</v>
      </c>
      <c r="I20" s="12">
        <v>1</v>
      </c>
      <c r="J20" s="12" t="s">
        <v>21</v>
      </c>
      <c r="K20" s="12" t="s">
        <v>22</v>
      </c>
      <c r="L20" s="13">
        <v>50</v>
      </c>
    </row>
    <row r="21" spans="1:12" s="10" customFormat="1" ht="18" x14ac:dyDescent="0.25">
      <c r="A21" s="11">
        <v>17</v>
      </c>
      <c r="B21" s="12" t="s">
        <v>14</v>
      </c>
      <c r="C21" s="12" t="s">
        <v>15</v>
      </c>
      <c r="D21" s="12" t="s">
        <v>54</v>
      </c>
      <c r="E21" s="12" t="s">
        <v>55</v>
      </c>
      <c r="F21" s="12" t="s">
        <v>56</v>
      </c>
      <c r="G21" s="12" t="s">
        <v>19</v>
      </c>
      <c r="H21" s="12" t="s">
        <v>20</v>
      </c>
      <c r="I21" s="12">
        <v>1</v>
      </c>
      <c r="J21" s="12" t="s">
        <v>21</v>
      </c>
      <c r="K21" s="12" t="s">
        <v>22</v>
      </c>
      <c r="L21" s="13">
        <v>50</v>
      </c>
    </row>
    <row r="22" spans="1:12" s="10" customFormat="1" ht="27" x14ac:dyDescent="0.25">
      <c r="A22" s="11">
        <v>18</v>
      </c>
      <c r="B22" s="14" t="s">
        <v>57</v>
      </c>
      <c r="C22" s="15" t="s">
        <v>15</v>
      </c>
      <c r="D22" s="15" t="s">
        <v>58</v>
      </c>
      <c r="E22" s="15" t="s">
        <v>59</v>
      </c>
      <c r="F22" s="15" t="s">
        <v>60</v>
      </c>
      <c r="G22" s="15" t="s">
        <v>19</v>
      </c>
      <c r="H22" s="15" t="s">
        <v>20</v>
      </c>
      <c r="I22" s="15">
        <v>1</v>
      </c>
      <c r="J22" s="15" t="s">
        <v>21</v>
      </c>
      <c r="K22" s="12" t="s">
        <v>22</v>
      </c>
      <c r="L22" s="13">
        <v>35</v>
      </c>
    </row>
    <row r="23" spans="1:12" s="10" customFormat="1" ht="27" x14ac:dyDescent="0.25">
      <c r="A23" s="11">
        <v>19</v>
      </c>
      <c r="B23" s="14" t="s">
        <v>57</v>
      </c>
      <c r="C23" s="15" t="s">
        <v>15</v>
      </c>
      <c r="D23" s="15" t="s">
        <v>61</v>
      </c>
      <c r="E23" s="15" t="s">
        <v>62</v>
      </c>
      <c r="F23" s="15" t="s">
        <v>63</v>
      </c>
      <c r="G23" s="15" t="s">
        <v>19</v>
      </c>
      <c r="H23" s="15" t="s">
        <v>20</v>
      </c>
      <c r="I23" s="15">
        <v>1</v>
      </c>
      <c r="J23" s="15" t="s">
        <v>21</v>
      </c>
      <c r="K23" s="12" t="s">
        <v>22</v>
      </c>
      <c r="L23" s="13">
        <v>35</v>
      </c>
    </row>
    <row r="24" spans="1:12" s="10" customFormat="1" ht="27" x14ac:dyDescent="0.25">
      <c r="A24" s="11">
        <v>20</v>
      </c>
      <c r="B24" s="14" t="s">
        <v>57</v>
      </c>
      <c r="C24" s="15" t="s">
        <v>15</v>
      </c>
      <c r="D24" s="15" t="s">
        <v>64</v>
      </c>
      <c r="E24" s="15" t="s">
        <v>65</v>
      </c>
      <c r="F24" s="15" t="s">
        <v>66</v>
      </c>
      <c r="G24" s="15" t="s">
        <v>19</v>
      </c>
      <c r="H24" s="15" t="s">
        <v>20</v>
      </c>
      <c r="I24" s="15">
        <v>1</v>
      </c>
      <c r="J24" s="15" t="s">
        <v>21</v>
      </c>
      <c r="K24" s="12" t="s">
        <v>22</v>
      </c>
      <c r="L24" s="13">
        <v>35</v>
      </c>
    </row>
    <row r="25" spans="1:12" s="10" customFormat="1" ht="27" x14ac:dyDescent="0.25">
      <c r="A25" s="11">
        <v>21</v>
      </c>
      <c r="B25" s="14" t="s">
        <v>57</v>
      </c>
      <c r="C25" s="15" t="s">
        <v>15</v>
      </c>
      <c r="D25" s="15" t="s">
        <v>67</v>
      </c>
      <c r="E25" s="15" t="s">
        <v>68</v>
      </c>
      <c r="F25" s="15" t="s">
        <v>69</v>
      </c>
      <c r="G25" s="15" t="s">
        <v>19</v>
      </c>
      <c r="H25" s="15" t="s">
        <v>20</v>
      </c>
      <c r="I25" s="15">
        <v>1</v>
      </c>
      <c r="J25" s="15" t="s">
        <v>21</v>
      </c>
      <c r="K25" s="12" t="s">
        <v>22</v>
      </c>
      <c r="L25" s="13">
        <v>35</v>
      </c>
    </row>
    <row r="26" spans="1:12" s="10" customFormat="1" ht="27" x14ac:dyDescent="0.25">
      <c r="A26" s="11">
        <v>22</v>
      </c>
      <c r="B26" s="14" t="s">
        <v>57</v>
      </c>
      <c r="C26" s="15" t="s">
        <v>15</v>
      </c>
      <c r="D26" s="15" t="s">
        <v>70</v>
      </c>
      <c r="E26" s="15" t="s">
        <v>71</v>
      </c>
      <c r="F26" s="15" t="s">
        <v>72</v>
      </c>
      <c r="G26" s="15" t="s">
        <v>19</v>
      </c>
      <c r="H26" s="15" t="s">
        <v>20</v>
      </c>
      <c r="I26" s="15">
        <v>1</v>
      </c>
      <c r="J26" s="15" t="s">
        <v>21</v>
      </c>
      <c r="K26" s="12" t="s">
        <v>22</v>
      </c>
      <c r="L26" s="13">
        <v>35</v>
      </c>
    </row>
    <row r="27" spans="1:12" s="10" customFormat="1" ht="27" x14ac:dyDescent="0.25">
      <c r="A27" s="11">
        <v>23</v>
      </c>
      <c r="B27" s="14" t="s">
        <v>57</v>
      </c>
      <c r="C27" s="15" t="s">
        <v>15</v>
      </c>
      <c r="D27" s="15" t="s">
        <v>73</v>
      </c>
      <c r="E27" s="15" t="s">
        <v>74</v>
      </c>
      <c r="F27" s="15" t="s">
        <v>75</v>
      </c>
      <c r="G27" s="15" t="s">
        <v>19</v>
      </c>
      <c r="H27" s="15" t="s">
        <v>20</v>
      </c>
      <c r="I27" s="15">
        <v>1</v>
      </c>
      <c r="J27" s="15" t="s">
        <v>21</v>
      </c>
      <c r="K27" s="12" t="s">
        <v>22</v>
      </c>
      <c r="L27" s="13">
        <v>35</v>
      </c>
    </row>
    <row r="28" spans="1:12" s="10" customFormat="1" ht="27" x14ac:dyDescent="0.25">
      <c r="A28" s="11">
        <v>24</v>
      </c>
      <c r="B28" s="14" t="s">
        <v>57</v>
      </c>
      <c r="C28" s="15" t="s">
        <v>15</v>
      </c>
      <c r="D28" s="15" t="s">
        <v>76</v>
      </c>
      <c r="E28" s="15" t="s">
        <v>77</v>
      </c>
      <c r="F28" s="15" t="s">
        <v>78</v>
      </c>
      <c r="G28" s="15" t="s">
        <v>19</v>
      </c>
      <c r="H28" s="15" t="s">
        <v>20</v>
      </c>
      <c r="I28" s="15">
        <v>1</v>
      </c>
      <c r="J28" s="15" t="s">
        <v>21</v>
      </c>
      <c r="K28" s="12" t="s">
        <v>22</v>
      </c>
      <c r="L28" s="13">
        <v>35</v>
      </c>
    </row>
    <row r="29" spans="1:12" s="10" customFormat="1" ht="27" x14ac:dyDescent="0.25">
      <c r="A29" s="11">
        <v>25</v>
      </c>
      <c r="B29" s="14" t="s">
        <v>57</v>
      </c>
      <c r="C29" s="15" t="s">
        <v>15</v>
      </c>
      <c r="D29" s="15" t="s">
        <v>79</v>
      </c>
      <c r="E29" s="15" t="s">
        <v>80</v>
      </c>
      <c r="F29" s="15" t="s">
        <v>81</v>
      </c>
      <c r="G29" s="15" t="s">
        <v>19</v>
      </c>
      <c r="H29" s="15" t="s">
        <v>20</v>
      </c>
      <c r="I29" s="15">
        <v>1</v>
      </c>
      <c r="J29" s="15" t="s">
        <v>21</v>
      </c>
      <c r="K29" s="12" t="s">
        <v>22</v>
      </c>
      <c r="L29" s="13">
        <v>35</v>
      </c>
    </row>
    <row r="30" spans="1:12" s="10" customFormat="1" ht="27" x14ac:dyDescent="0.25">
      <c r="A30" s="11">
        <v>26</v>
      </c>
      <c r="B30" s="14" t="s">
        <v>57</v>
      </c>
      <c r="C30" s="15" t="s">
        <v>15</v>
      </c>
      <c r="D30" s="15" t="s">
        <v>82</v>
      </c>
      <c r="E30" s="15" t="s">
        <v>83</v>
      </c>
      <c r="F30" s="15" t="s">
        <v>84</v>
      </c>
      <c r="G30" s="15" t="s">
        <v>19</v>
      </c>
      <c r="H30" s="15" t="s">
        <v>20</v>
      </c>
      <c r="I30" s="15">
        <v>1</v>
      </c>
      <c r="J30" s="15" t="s">
        <v>21</v>
      </c>
      <c r="K30" s="12" t="s">
        <v>22</v>
      </c>
      <c r="L30" s="13">
        <v>35</v>
      </c>
    </row>
    <row r="31" spans="1:12" s="10" customFormat="1" ht="27" x14ac:dyDescent="0.25">
      <c r="A31" s="11">
        <v>27</v>
      </c>
      <c r="B31" s="14" t="s">
        <v>57</v>
      </c>
      <c r="C31" s="15" t="s">
        <v>15</v>
      </c>
      <c r="D31" s="15" t="s">
        <v>85</v>
      </c>
      <c r="E31" s="15" t="s">
        <v>86</v>
      </c>
      <c r="F31" s="15" t="s">
        <v>87</v>
      </c>
      <c r="G31" s="15" t="s">
        <v>19</v>
      </c>
      <c r="H31" s="15" t="s">
        <v>20</v>
      </c>
      <c r="I31" s="15">
        <v>1</v>
      </c>
      <c r="J31" s="15" t="s">
        <v>21</v>
      </c>
      <c r="K31" s="12" t="s">
        <v>22</v>
      </c>
      <c r="L31" s="13">
        <v>35</v>
      </c>
    </row>
    <row r="32" spans="1:12" s="10" customFormat="1" ht="27" x14ac:dyDescent="0.25">
      <c r="A32" s="11">
        <v>28</v>
      </c>
      <c r="B32" s="14" t="s">
        <v>57</v>
      </c>
      <c r="C32" s="15" t="s">
        <v>15</v>
      </c>
      <c r="D32" s="15" t="s">
        <v>88</v>
      </c>
      <c r="E32" s="15" t="s">
        <v>89</v>
      </c>
      <c r="F32" s="15" t="s">
        <v>90</v>
      </c>
      <c r="G32" s="15" t="s">
        <v>19</v>
      </c>
      <c r="H32" s="15" t="s">
        <v>20</v>
      </c>
      <c r="I32" s="15">
        <v>1</v>
      </c>
      <c r="J32" s="15" t="s">
        <v>21</v>
      </c>
      <c r="K32" s="12" t="s">
        <v>22</v>
      </c>
      <c r="L32" s="13">
        <v>35</v>
      </c>
    </row>
    <row r="33" spans="1:12" s="10" customFormat="1" ht="27" x14ac:dyDescent="0.25">
      <c r="A33" s="11">
        <v>29</v>
      </c>
      <c r="B33" s="14" t="s">
        <v>57</v>
      </c>
      <c r="C33" s="15" t="s">
        <v>15</v>
      </c>
      <c r="D33" s="15" t="s">
        <v>91</v>
      </c>
      <c r="E33" s="15" t="s">
        <v>92</v>
      </c>
      <c r="F33" s="15" t="s">
        <v>93</v>
      </c>
      <c r="G33" s="15" t="s">
        <v>19</v>
      </c>
      <c r="H33" s="15" t="s">
        <v>20</v>
      </c>
      <c r="I33" s="15">
        <v>1</v>
      </c>
      <c r="J33" s="15" t="s">
        <v>21</v>
      </c>
      <c r="K33" s="12" t="s">
        <v>22</v>
      </c>
      <c r="L33" s="13">
        <v>35</v>
      </c>
    </row>
    <row r="34" spans="1:12" s="10" customFormat="1" ht="27" x14ac:dyDescent="0.25">
      <c r="A34" s="11">
        <v>30</v>
      </c>
      <c r="B34" s="14" t="s">
        <v>57</v>
      </c>
      <c r="C34" s="15" t="s">
        <v>15</v>
      </c>
      <c r="D34" s="15" t="s">
        <v>94</v>
      </c>
      <c r="E34" s="15" t="s">
        <v>95</v>
      </c>
      <c r="F34" s="15" t="s">
        <v>96</v>
      </c>
      <c r="G34" s="15" t="s">
        <v>19</v>
      </c>
      <c r="H34" s="15" t="s">
        <v>20</v>
      </c>
      <c r="I34" s="15">
        <v>1</v>
      </c>
      <c r="J34" s="15" t="s">
        <v>21</v>
      </c>
      <c r="K34" s="12" t="s">
        <v>22</v>
      </c>
      <c r="L34" s="13">
        <v>35</v>
      </c>
    </row>
    <row r="35" spans="1:12" s="10" customFormat="1" ht="27" x14ac:dyDescent="0.25">
      <c r="A35" s="11">
        <v>31</v>
      </c>
      <c r="B35" s="14" t="s">
        <v>57</v>
      </c>
      <c r="C35" s="15" t="s">
        <v>15</v>
      </c>
      <c r="D35" s="15" t="s">
        <v>97</v>
      </c>
      <c r="E35" s="15" t="s">
        <v>98</v>
      </c>
      <c r="F35" s="15" t="s">
        <v>99</v>
      </c>
      <c r="G35" s="15" t="s">
        <v>19</v>
      </c>
      <c r="H35" s="15" t="s">
        <v>20</v>
      </c>
      <c r="I35" s="15">
        <v>1</v>
      </c>
      <c r="J35" s="15" t="s">
        <v>21</v>
      </c>
      <c r="K35" s="12" t="s">
        <v>22</v>
      </c>
      <c r="L35" s="13">
        <v>35</v>
      </c>
    </row>
    <row r="36" spans="1:12" s="10" customFormat="1" ht="27" x14ac:dyDescent="0.25">
      <c r="A36" s="11">
        <v>32</v>
      </c>
      <c r="B36" s="14" t="s">
        <v>57</v>
      </c>
      <c r="C36" s="15" t="s">
        <v>15</v>
      </c>
      <c r="D36" s="15" t="s">
        <v>100</v>
      </c>
      <c r="E36" s="15" t="s">
        <v>101</v>
      </c>
      <c r="F36" s="15" t="s">
        <v>102</v>
      </c>
      <c r="G36" s="15" t="s">
        <v>19</v>
      </c>
      <c r="H36" s="15" t="s">
        <v>20</v>
      </c>
      <c r="I36" s="15">
        <v>1</v>
      </c>
      <c r="J36" s="15" t="s">
        <v>21</v>
      </c>
      <c r="K36" s="12" t="s">
        <v>22</v>
      </c>
      <c r="L36" s="13">
        <v>35</v>
      </c>
    </row>
    <row r="37" spans="1:12" s="10" customFormat="1" ht="27" x14ac:dyDescent="0.25">
      <c r="A37" s="11">
        <v>33</v>
      </c>
      <c r="B37" s="14" t="s">
        <v>57</v>
      </c>
      <c r="C37" s="15" t="s">
        <v>15</v>
      </c>
      <c r="D37" s="15" t="s">
        <v>103</v>
      </c>
      <c r="E37" s="15" t="s">
        <v>104</v>
      </c>
      <c r="F37" s="15" t="s">
        <v>105</v>
      </c>
      <c r="G37" s="15" t="s">
        <v>19</v>
      </c>
      <c r="H37" s="15" t="s">
        <v>20</v>
      </c>
      <c r="I37" s="15">
        <v>1</v>
      </c>
      <c r="J37" s="15" t="s">
        <v>21</v>
      </c>
      <c r="K37" s="12" t="s">
        <v>22</v>
      </c>
      <c r="L37" s="13">
        <v>35</v>
      </c>
    </row>
    <row r="38" spans="1:12" s="10" customFormat="1" ht="27" x14ac:dyDescent="0.25">
      <c r="A38" s="11">
        <v>34</v>
      </c>
      <c r="B38" s="14" t="s">
        <v>57</v>
      </c>
      <c r="C38" s="15" t="s">
        <v>15</v>
      </c>
      <c r="D38" s="15" t="s">
        <v>106</v>
      </c>
      <c r="E38" s="15" t="s">
        <v>107</v>
      </c>
      <c r="F38" s="15" t="s">
        <v>108</v>
      </c>
      <c r="G38" s="15" t="s">
        <v>19</v>
      </c>
      <c r="H38" s="15" t="s">
        <v>20</v>
      </c>
      <c r="I38" s="15">
        <v>1</v>
      </c>
      <c r="J38" s="15" t="s">
        <v>21</v>
      </c>
      <c r="K38" s="12" t="s">
        <v>22</v>
      </c>
      <c r="L38" s="13">
        <v>35</v>
      </c>
    </row>
    <row r="39" spans="1:12" s="10" customFormat="1" ht="27" x14ac:dyDescent="0.25">
      <c r="A39" s="11">
        <v>35</v>
      </c>
      <c r="B39" s="14" t="s">
        <v>57</v>
      </c>
      <c r="C39" s="15" t="s">
        <v>15</v>
      </c>
      <c r="D39" s="15" t="s">
        <v>109</v>
      </c>
      <c r="E39" s="15" t="s">
        <v>110</v>
      </c>
      <c r="F39" s="15" t="s">
        <v>111</v>
      </c>
      <c r="G39" s="15" t="s">
        <v>19</v>
      </c>
      <c r="H39" s="15" t="s">
        <v>20</v>
      </c>
      <c r="I39" s="15">
        <v>1</v>
      </c>
      <c r="J39" s="15" t="s">
        <v>21</v>
      </c>
      <c r="K39" s="12" t="s">
        <v>22</v>
      </c>
      <c r="L39" s="13">
        <v>35</v>
      </c>
    </row>
    <row r="40" spans="1:12" s="10" customFormat="1" ht="27" x14ac:dyDescent="0.25">
      <c r="A40" s="11">
        <v>36</v>
      </c>
      <c r="B40" s="14" t="s">
        <v>57</v>
      </c>
      <c r="C40" s="15" t="s">
        <v>15</v>
      </c>
      <c r="D40" s="15" t="s">
        <v>112</v>
      </c>
      <c r="E40" s="15" t="s">
        <v>113</v>
      </c>
      <c r="F40" s="15" t="s">
        <v>114</v>
      </c>
      <c r="G40" s="15" t="s">
        <v>19</v>
      </c>
      <c r="H40" s="15" t="s">
        <v>20</v>
      </c>
      <c r="I40" s="15">
        <v>1</v>
      </c>
      <c r="J40" s="15" t="s">
        <v>21</v>
      </c>
      <c r="K40" s="12" t="s">
        <v>22</v>
      </c>
      <c r="L40" s="13">
        <v>35</v>
      </c>
    </row>
    <row r="41" spans="1:12" s="10" customFormat="1" ht="27" x14ac:dyDescent="0.25">
      <c r="A41" s="11">
        <v>37</v>
      </c>
      <c r="B41" s="14" t="s">
        <v>57</v>
      </c>
      <c r="C41" s="15" t="s">
        <v>15</v>
      </c>
      <c r="D41" s="15" t="s">
        <v>115</v>
      </c>
      <c r="E41" s="15" t="s">
        <v>116</v>
      </c>
      <c r="F41" s="15" t="s">
        <v>117</v>
      </c>
      <c r="G41" s="15" t="s">
        <v>19</v>
      </c>
      <c r="H41" s="15" t="s">
        <v>20</v>
      </c>
      <c r="I41" s="15">
        <v>1</v>
      </c>
      <c r="J41" s="15" t="s">
        <v>21</v>
      </c>
      <c r="K41" s="12" t="s">
        <v>22</v>
      </c>
      <c r="L41" s="13">
        <v>35</v>
      </c>
    </row>
    <row r="42" spans="1:12" s="10" customFormat="1" ht="27" x14ac:dyDescent="0.25">
      <c r="A42" s="11">
        <v>38</v>
      </c>
      <c r="B42" s="14" t="s">
        <v>57</v>
      </c>
      <c r="C42" s="15" t="s">
        <v>15</v>
      </c>
      <c r="D42" s="15" t="s">
        <v>118</v>
      </c>
      <c r="E42" s="15" t="s">
        <v>119</v>
      </c>
      <c r="F42" s="15" t="s">
        <v>120</v>
      </c>
      <c r="G42" s="15" t="s">
        <v>19</v>
      </c>
      <c r="H42" s="15" t="s">
        <v>20</v>
      </c>
      <c r="I42" s="15">
        <v>1</v>
      </c>
      <c r="J42" s="15" t="s">
        <v>21</v>
      </c>
      <c r="K42" s="12" t="s">
        <v>22</v>
      </c>
      <c r="L42" s="13">
        <v>35</v>
      </c>
    </row>
    <row r="43" spans="1:12" s="10" customFormat="1" ht="27" x14ac:dyDescent="0.25">
      <c r="A43" s="11">
        <v>39</v>
      </c>
      <c r="B43" s="14" t="s">
        <v>57</v>
      </c>
      <c r="C43" s="15" t="s">
        <v>15</v>
      </c>
      <c r="D43" s="15" t="s">
        <v>121</v>
      </c>
      <c r="E43" s="15" t="s">
        <v>122</v>
      </c>
      <c r="F43" s="15" t="s">
        <v>123</v>
      </c>
      <c r="G43" s="15" t="s">
        <v>19</v>
      </c>
      <c r="H43" s="15" t="s">
        <v>20</v>
      </c>
      <c r="I43" s="15">
        <v>1</v>
      </c>
      <c r="J43" s="15" t="s">
        <v>21</v>
      </c>
      <c r="K43" s="12" t="s">
        <v>22</v>
      </c>
      <c r="L43" s="13">
        <v>35</v>
      </c>
    </row>
    <row r="44" spans="1:12" s="10" customFormat="1" ht="27" x14ac:dyDescent="0.25">
      <c r="A44" s="11">
        <v>40</v>
      </c>
      <c r="B44" s="14" t="s">
        <v>57</v>
      </c>
      <c r="C44" s="15" t="s">
        <v>15</v>
      </c>
      <c r="D44" s="15" t="s">
        <v>124</v>
      </c>
      <c r="E44" s="15" t="s">
        <v>125</v>
      </c>
      <c r="F44" s="15" t="s">
        <v>126</v>
      </c>
      <c r="G44" s="15" t="s">
        <v>19</v>
      </c>
      <c r="H44" s="15" t="s">
        <v>20</v>
      </c>
      <c r="I44" s="15">
        <v>1</v>
      </c>
      <c r="J44" s="15" t="s">
        <v>21</v>
      </c>
      <c r="K44" s="12" t="s">
        <v>22</v>
      </c>
      <c r="L44" s="13">
        <v>35</v>
      </c>
    </row>
    <row r="45" spans="1:12" s="10" customFormat="1" ht="27" x14ac:dyDescent="0.25">
      <c r="A45" s="11">
        <v>41</v>
      </c>
      <c r="B45" s="14" t="s">
        <v>57</v>
      </c>
      <c r="C45" s="15" t="s">
        <v>15</v>
      </c>
      <c r="D45" s="15" t="s">
        <v>127</v>
      </c>
      <c r="E45" s="15" t="s">
        <v>128</v>
      </c>
      <c r="F45" s="15" t="s">
        <v>129</v>
      </c>
      <c r="G45" s="15" t="s">
        <v>19</v>
      </c>
      <c r="H45" s="15" t="s">
        <v>20</v>
      </c>
      <c r="I45" s="15">
        <v>1</v>
      </c>
      <c r="J45" s="15" t="s">
        <v>21</v>
      </c>
      <c r="K45" s="12" t="s">
        <v>22</v>
      </c>
      <c r="L45" s="13">
        <v>35</v>
      </c>
    </row>
    <row r="46" spans="1:12" s="10" customFormat="1" ht="27" x14ac:dyDescent="0.25">
      <c r="A46" s="11">
        <v>42</v>
      </c>
      <c r="B46" s="14" t="s">
        <v>57</v>
      </c>
      <c r="C46" s="15" t="s">
        <v>15</v>
      </c>
      <c r="D46" s="15" t="s">
        <v>130</v>
      </c>
      <c r="E46" s="15" t="s">
        <v>131</v>
      </c>
      <c r="F46" s="15" t="s">
        <v>132</v>
      </c>
      <c r="G46" s="15" t="s">
        <v>19</v>
      </c>
      <c r="H46" s="15" t="s">
        <v>20</v>
      </c>
      <c r="I46" s="15">
        <v>1</v>
      </c>
      <c r="J46" s="15" t="s">
        <v>21</v>
      </c>
      <c r="K46" s="12" t="s">
        <v>22</v>
      </c>
      <c r="L46" s="13">
        <v>35</v>
      </c>
    </row>
    <row r="47" spans="1:12" s="10" customFormat="1" ht="27" x14ac:dyDescent="0.25">
      <c r="A47" s="11">
        <v>43</v>
      </c>
      <c r="B47" s="14" t="s">
        <v>57</v>
      </c>
      <c r="C47" s="15" t="s">
        <v>15</v>
      </c>
      <c r="D47" s="15" t="s">
        <v>133</v>
      </c>
      <c r="E47" s="15" t="s">
        <v>134</v>
      </c>
      <c r="F47" s="15" t="s">
        <v>135</v>
      </c>
      <c r="G47" s="15" t="s">
        <v>19</v>
      </c>
      <c r="H47" s="15" t="s">
        <v>20</v>
      </c>
      <c r="I47" s="15">
        <v>1</v>
      </c>
      <c r="J47" s="15" t="s">
        <v>21</v>
      </c>
      <c r="K47" s="12" t="s">
        <v>22</v>
      </c>
      <c r="L47" s="13">
        <v>35</v>
      </c>
    </row>
    <row r="48" spans="1:12" s="10" customFormat="1" ht="27" x14ac:dyDescent="0.25">
      <c r="A48" s="11">
        <v>44</v>
      </c>
      <c r="B48" s="14" t="s">
        <v>57</v>
      </c>
      <c r="C48" s="15" t="s">
        <v>15</v>
      </c>
      <c r="D48" s="15" t="s">
        <v>136</v>
      </c>
      <c r="E48" s="15" t="s">
        <v>137</v>
      </c>
      <c r="F48" s="15" t="s">
        <v>138</v>
      </c>
      <c r="G48" s="15" t="s">
        <v>19</v>
      </c>
      <c r="H48" s="15" t="s">
        <v>20</v>
      </c>
      <c r="I48" s="15">
        <v>1</v>
      </c>
      <c r="J48" s="15" t="s">
        <v>21</v>
      </c>
      <c r="K48" s="12" t="s">
        <v>22</v>
      </c>
      <c r="L48" s="13">
        <v>35</v>
      </c>
    </row>
    <row r="49" spans="1:12" s="10" customFormat="1" ht="27" x14ac:dyDescent="0.25">
      <c r="A49" s="11">
        <v>45</v>
      </c>
      <c r="B49" s="14" t="s">
        <v>57</v>
      </c>
      <c r="C49" s="15" t="s">
        <v>15</v>
      </c>
      <c r="D49" s="15" t="s">
        <v>139</v>
      </c>
      <c r="E49" s="15" t="s">
        <v>140</v>
      </c>
      <c r="F49" s="15" t="s">
        <v>141</v>
      </c>
      <c r="G49" s="15" t="s">
        <v>19</v>
      </c>
      <c r="H49" s="15" t="s">
        <v>20</v>
      </c>
      <c r="I49" s="15">
        <v>1</v>
      </c>
      <c r="J49" s="15" t="s">
        <v>21</v>
      </c>
      <c r="K49" s="12" t="s">
        <v>22</v>
      </c>
      <c r="L49" s="13">
        <v>35</v>
      </c>
    </row>
    <row r="50" spans="1:12" s="10" customFormat="1" ht="27" x14ac:dyDescent="0.25">
      <c r="A50" s="11">
        <v>46</v>
      </c>
      <c r="B50" s="14" t="s">
        <v>57</v>
      </c>
      <c r="C50" s="15" t="s">
        <v>15</v>
      </c>
      <c r="D50" s="15" t="s">
        <v>142</v>
      </c>
      <c r="E50" s="15" t="s">
        <v>143</v>
      </c>
      <c r="F50" s="15" t="s">
        <v>144</v>
      </c>
      <c r="G50" s="15" t="s">
        <v>19</v>
      </c>
      <c r="H50" s="15" t="s">
        <v>20</v>
      </c>
      <c r="I50" s="15">
        <v>1</v>
      </c>
      <c r="J50" s="15" t="s">
        <v>21</v>
      </c>
      <c r="K50" s="12" t="s">
        <v>22</v>
      </c>
      <c r="L50" s="13">
        <v>35</v>
      </c>
    </row>
    <row r="51" spans="1:12" s="10" customFormat="1" ht="27" x14ac:dyDescent="0.25">
      <c r="A51" s="11">
        <v>47</v>
      </c>
      <c r="B51" s="14" t="s">
        <v>57</v>
      </c>
      <c r="C51" s="15" t="s">
        <v>15</v>
      </c>
      <c r="D51" s="15" t="s">
        <v>145</v>
      </c>
      <c r="E51" s="15" t="s">
        <v>146</v>
      </c>
      <c r="F51" s="15" t="s">
        <v>147</v>
      </c>
      <c r="G51" s="15" t="s">
        <v>19</v>
      </c>
      <c r="H51" s="15" t="s">
        <v>20</v>
      </c>
      <c r="I51" s="15">
        <v>1</v>
      </c>
      <c r="J51" s="15" t="s">
        <v>21</v>
      </c>
      <c r="K51" s="12" t="s">
        <v>22</v>
      </c>
      <c r="L51" s="13">
        <v>35</v>
      </c>
    </row>
    <row r="52" spans="1:12" s="10" customFormat="1" ht="27" x14ac:dyDescent="0.25">
      <c r="A52" s="11">
        <v>48</v>
      </c>
      <c r="B52" s="14" t="s">
        <v>57</v>
      </c>
      <c r="C52" s="15" t="s">
        <v>15</v>
      </c>
      <c r="D52" s="15" t="s">
        <v>148</v>
      </c>
      <c r="E52" s="15" t="s">
        <v>149</v>
      </c>
      <c r="F52" s="15" t="s">
        <v>150</v>
      </c>
      <c r="G52" s="15" t="s">
        <v>19</v>
      </c>
      <c r="H52" s="15" t="s">
        <v>20</v>
      </c>
      <c r="I52" s="15">
        <v>1</v>
      </c>
      <c r="J52" s="15" t="s">
        <v>21</v>
      </c>
      <c r="K52" s="12" t="s">
        <v>22</v>
      </c>
      <c r="L52" s="13">
        <v>35</v>
      </c>
    </row>
    <row r="53" spans="1:12" s="10" customFormat="1" ht="27" x14ac:dyDescent="0.25">
      <c r="A53" s="11">
        <v>49</v>
      </c>
      <c r="B53" s="14" t="s">
        <v>57</v>
      </c>
      <c r="C53" s="15" t="s">
        <v>15</v>
      </c>
      <c r="D53" s="15" t="s">
        <v>151</v>
      </c>
      <c r="E53" s="15" t="s">
        <v>152</v>
      </c>
      <c r="F53" s="15" t="s">
        <v>153</v>
      </c>
      <c r="G53" s="15" t="s">
        <v>19</v>
      </c>
      <c r="H53" s="15" t="s">
        <v>20</v>
      </c>
      <c r="I53" s="15">
        <v>1</v>
      </c>
      <c r="J53" s="15" t="s">
        <v>21</v>
      </c>
      <c r="K53" s="12" t="s">
        <v>22</v>
      </c>
      <c r="L53" s="13">
        <v>35</v>
      </c>
    </row>
    <row r="54" spans="1:12" s="10" customFormat="1" ht="27" x14ac:dyDescent="0.25">
      <c r="A54" s="11">
        <v>50</v>
      </c>
      <c r="B54" s="14" t="s">
        <v>57</v>
      </c>
      <c r="C54" s="15" t="s">
        <v>15</v>
      </c>
      <c r="D54" s="15" t="s">
        <v>154</v>
      </c>
      <c r="E54" s="15" t="s">
        <v>155</v>
      </c>
      <c r="F54" s="15" t="s">
        <v>156</v>
      </c>
      <c r="G54" s="15" t="s">
        <v>19</v>
      </c>
      <c r="H54" s="15" t="s">
        <v>20</v>
      </c>
      <c r="I54" s="15">
        <v>1</v>
      </c>
      <c r="J54" s="15" t="s">
        <v>21</v>
      </c>
      <c r="K54" s="12" t="s">
        <v>22</v>
      </c>
      <c r="L54" s="13">
        <v>35</v>
      </c>
    </row>
    <row r="55" spans="1:12" s="10" customFormat="1" ht="27" x14ac:dyDescent="0.25">
      <c r="A55" s="11">
        <v>51</v>
      </c>
      <c r="B55" s="14" t="s">
        <v>57</v>
      </c>
      <c r="C55" s="15" t="s">
        <v>15</v>
      </c>
      <c r="D55" s="15" t="s">
        <v>157</v>
      </c>
      <c r="E55" s="15" t="s">
        <v>158</v>
      </c>
      <c r="F55" s="15" t="s">
        <v>159</v>
      </c>
      <c r="G55" s="15" t="s">
        <v>19</v>
      </c>
      <c r="H55" s="15" t="s">
        <v>20</v>
      </c>
      <c r="I55" s="15">
        <v>1</v>
      </c>
      <c r="J55" s="15" t="s">
        <v>21</v>
      </c>
      <c r="K55" s="12" t="s">
        <v>22</v>
      </c>
      <c r="L55" s="13">
        <v>35</v>
      </c>
    </row>
    <row r="56" spans="1:12" s="10" customFormat="1" ht="27" x14ac:dyDescent="0.25">
      <c r="A56" s="11">
        <v>52</v>
      </c>
      <c r="B56" s="14" t="s">
        <v>57</v>
      </c>
      <c r="C56" s="15" t="s">
        <v>15</v>
      </c>
      <c r="D56" s="15" t="s">
        <v>160</v>
      </c>
      <c r="E56" s="15" t="s">
        <v>161</v>
      </c>
      <c r="F56" s="15" t="s">
        <v>162</v>
      </c>
      <c r="G56" s="15" t="s">
        <v>19</v>
      </c>
      <c r="H56" s="15" t="s">
        <v>20</v>
      </c>
      <c r="I56" s="15">
        <v>1</v>
      </c>
      <c r="J56" s="15" t="s">
        <v>21</v>
      </c>
      <c r="K56" s="12" t="s">
        <v>22</v>
      </c>
      <c r="L56" s="13">
        <v>35</v>
      </c>
    </row>
    <row r="57" spans="1:12" s="10" customFormat="1" ht="27" x14ac:dyDescent="0.25">
      <c r="A57" s="11">
        <v>53</v>
      </c>
      <c r="B57" s="14" t="s">
        <v>57</v>
      </c>
      <c r="C57" s="15" t="s">
        <v>15</v>
      </c>
      <c r="D57" s="15" t="s">
        <v>163</v>
      </c>
      <c r="E57" s="15" t="s">
        <v>164</v>
      </c>
      <c r="F57" s="15" t="s">
        <v>165</v>
      </c>
      <c r="G57" s="15" t="s">
        <v>19</v>
      </c>
      <c r="H57" s="15" t="s">
        <v>20</v>
      </c>
      <c r="I57" s="15">
        <v>1</v>
      </c>
      <c r="J57" s="15" t="s">
        <v>21</v>
      </c>
      <c r="K57" s="12" t="s">
        <v>22</v>
      </c>
      <c r="L57" s="13">
        <v>35</v>
      </c>
    </row>
    <row r="58" spans="1:12" s="10" customFormat="1" ht="27" x14ac:dyDescent="0.25">
      <c r="A58" s="11">
        <v>54</v>
      </c>
      <c r="B58" s="14" t="s">
        <v>57</v>
      </c>
      <c r="C58" s="15" t="s">
        <v>15</v>
      </c>
      <c r="D58" s="15" t="s">
        <v>166</v>
      </c>
      <c r="E58" s="15" t="s">
        <v>167</v>
      </c>
      <c r="F58" s="15" t="s">
        <v>168</v>
      </c>
      <c r="G58" s="15" t="s">
        <v>19</v>
      </c>
      <c r="H58" s="15" t="s">
        <v>20</v>
      </c>
      <c r="I58" s="15">
        <v>1</v>
      </c>
      <c r="J58" s="15" t="s">
        <v>21</v>
      </c>
      <c r="K58" s="12" t="s">
        <v>22</v>
      </c>
      <c r="L58" s="13">
        <v>35</v>
      </c>
    </row>
    <row r="59" spans="1:12" s="10" customFormat="1" ht="27" x14ac:dyDescent="0.25">
      <c r="A59" s="11">
        <v>55</v>
      </c>
      <c r="B59" s="14" t="s">
        <v>57</v>
      </c>
      <c r="C59" s="15" t="s">
        <v>15</v>
      </c>
      <c r="D59" s="15" t="s">
        <v>169</v>
      </c>
      <c r="E59" s="15" t="s">
        <v>170</v>
      </c>
      <c r="F59" s="15" t="s">
        <v>171</v>
      </c>
      <c r="G59" s="15" t="s">
        <v>19</v>
      </c>
      <c r="H59" s="15" t="s">
        <v>20</v>
      </c>
      <c r="I59" s="15">
        <v>1</v>
      </c>
      <c r="J59" s="15" t="s">
        <v>21</v>
      </c>
      <c r="K59" s="12" t="s">
        <v>22</v>
      </c>
      <c r="L59" s="13">
        <v>35</v>
      </c>
    </row>
    <row r="60" spans="1:12" s="10" customFormat="1" ht="27" x14ac:dyDescent="0.25">
      <c r="A60" s="11">
        <v>56</v>
      </c>
      <c r="B60" s="14" t="s">
        <v>57</v>
      </c>
      <c r="C60" s="15" t="s">
        <v>15</v>
      </c>
      <c r="D60" s="15" t="s">
        <v>172</v>
      </c>
      <c r="E60" s="15" t="s">
        <v>173</v>
      </c>
      <c r="F60" s="15" t="s">
        <v>174</v>
      </c>
      <c r="G60" s="15" t="s">
        <v>19</v>
      </c>
      <c r="H60" s="15" t="s">
        <v>20</v>
      </c>
      <c r="I60" s="15">
        <v>1</v>
      </c>
      <c r="J60" s="15" t="s">
        <v>21</v>
      </c>
      <c r="K60" s="12" t="s">
        <v>22</v>
      </c>
      <c r="L60" s="13">
        <v>35</v>
      </c>
    </row>
    <row r="61" spans="1:12" s="10" customFormat="1" ht="27" x14ac:dyDescent="0.25">
      <c r="A61" s="11">
        <v>57</v>
      </c>
      <c r="B61" s="14" t="s">
        <v>57</v>
      </c>
      <c r="C61" s="15" t="s">
        <v>15</v>
      </c>
      <c r="D61" s="15" t="s">
        <v>175</v>
      </c>
      <c r="E61" s="15" t="s">
        <v>176</v>
      </c>
      <c r="F61" s="15" t="s">
        <v>177</v>
      </c>
      <c r="G61" s="15" t="s">
        <v>19</v>
      </c>
      <c r="H61" s="15" t="s">
        <v>20</v>
      </c>
      <c r="I61" s="15">
        <v>1</v>
      </c>
      <c r="J61" s="15" t="s">
        <v>21</v>
      </c>
      <c r="K61" s="12" t="s">
        <v>22</v>
      </c>
      <c r="L61" s="13">
        <v>35</v>
      </c>
    </row>
    <row r="62" spans="1:12" s="10" customFormat="1" ht="27" x14ac:dyDescent="0.25">
      <c r="A62" s="11">
        <v>58</v>
      </c>
      <c r="B62" s="14" t="s">
        <v>57</v>
      </c>
      <c r="C62" s="15" t="s">
        <v>15</v>
      </c>
      <c r="D62" s="15" t="s">
        <v>178</v>
      </c>
      <c r="E62" s="15" t="s">
        <v>179</v>
      </c>
      <c r="F62" s="15" t="s">
        <v>180</v>
      </c>
      <c r="G62" s="15" t="s">
        <v>19</v>
      </c>
      <c r="H62" s="15" t="s">
        <v>20</v>
      </c>
      <c r="I62" s="15">
        <v>1</v>
      </c>
      <c r="J62" s="15" t="s">
        <v>21</v>
      </c>
      <c r="K62" s="12" t="s">
        <v>22</v>
      </c>
      <c r="L62" s="13">
        <v>35</v>
      </c>
    </row>
    <row r="63" spans="1:12" s="10" customFormat="1" ht="27" x14ac:dyDescent="0.25">
      <c r="A63" s="11">
        <v>59</v>
      </c>
      <c r="B63" s="14" t="s">
        <v>57</v>
      </c>
      <c r="C63" s="15" t="s">
        <v>15</v>
      </c>
      <c r="D63" s="15" t="s">
        <v>181</v>
      </c>
      <c r="E63" s="15" t="s">
        <v>182</v>
      </c>
      <c r="F63" s="15" t="s">
        <v>183</v>
      </c>
      <c r="G63" s="15" t="s">
        <v>19</v>
      </c>
      <c r="H63" s="15" t="s">
        <v>20</v>
      </c>
      <c r="I63" s="15">
        <v>1</v>
      </c>
      <c r="J63" s="15" t="s">
        <v>21</v>
      </c>
      <c r="K63" s="12" t="s">
        <v>22</v>
      </c>
      <c r="L63" s="13">
        <v>35</v>
      </c>
    </row>
    <row r="64" spans="1:12" s="10" customFormat="1" ht="27" x14ac:dyDescent="0.25">
      <c r="A64" s="11">
        <v>60</v>
      </c>
      <c r="B64" s="14" t="s">
        <v>57</v>
      </c>
      <c r="C64" s="15" t="s">
        <v>15</v>
      </c>
      <c r="D64" s="15" t="s">
        <v>184</v>
      </c>
      <c r="E64" s="15" t="s">
        <v>185</v>
      </c>
      <c r="F64" s="15" t="s">
        <v>186</v>
      </c>
      <c r="G64" s="15" t="s">
        <v>19</v>
      </c>
      <c r="H64" s="15" t="s">
        <v>20</v>
      </c>
      <c r="I64" s="15">
        <v>1</v>
      </c>
      <c r="J64" s="15" t="s">
        <v>21</v>
      </c>
      <c r="K64" s="12" t="s">
        <v>22</v>
      </c>
      <c r="L64" s="13">
        <v>35</v>
      </c>
    </row>
    <row r="65" spans="1:12" s="10" customFormat="1" ht="27" x14ac:dyDescent="0.25">
      <c r="A65" s="11">
        <v>61</v>
      </c>
      <c r="B65" s="14" t="s">
        <v>57</v>
      </c>
      <c r="C65" s="15" t="s">
        <v>15</v>
      </c>
      <c r="D65" s="15" t="s">
        <v>187</v>
      </c>
      <c r="E65" s="15" t="s">
        <v>188</v>
      </c>
      <c r="F65" s="15" t="s">
        <v>189</v>
      </c>
      <c r="G65" s="15" t="s">
        <v>19</v>
      </c>
      <c r="H65" s="15" t="s">
        <v>20</v>
      </c>
      <c r="I65" s="15">
        <v>1</v>
      </c>
      <c r="J65" s="15" t="s">
        <v>21</v>
      </c>
      <c r="K65" s="12" t="s">
        <v>22</v>
      </c>
      <c r="L65" s="13">
        <v>35</v>
      </c>
    </row>
    <row r="66" spans="1:12" s="10" customFormat="1" ht="27" x14ac:dyDescent="0.25">
      <c r="A66" s="11">
        <v>62</v>
      </c>
      <c r="B66" s="14" t="s">
        <v>57</v>
      </c>
      <c r="C66" s="15" t="s">
        <v>15</v>
      </c>
      <c r="D66" s="15" t="s">
        <v>190</v>
      </c>
      <c r="E66" s="15" t="s">
        <v>191</v>
      </c>
      <c r="F66" s="15" t="s">
        <v>192</v>
      </c>
      <c r="G66" s="15" t="s">
        <v>19</v>
      </c>
      <c r="H66" s="15" t="s">
        <v>20</v>
      </c>
      <c r="I66" s="15">
        <v>1</v>
      </c>
      <c r="J66" s="15" t="s">
        <v>21</v>
      </c>
      <c r="K66" s="12" t="s">
        <v>22</v>
      </c>
      <c r="L66" s="13">
        <v>35</v>
      </c>
    </row>
    <row r="67" spans="1:12" s="10" customFormat="1" ht="27" x14ac:dyDescent="0.25">
      <c r="A67" s="11">
        <v>63</v>
      </c>
      <c r="B67" s="14" t="s">
        <v>57</v>
      </c>
      <c r="C67" s="15" t="s">
        <v>15</v>
      </c>
      <c r="D67" s="15" t="s">
        <v>193</v>
      </c>
      <c r="E67" s="15" t="s">
        <v>194</v>
      </c>
      <c r="F67" s="15" t="s">
        <v>195</v>
      </c>
      <c r="G67" s="15" t="s">
        <v>19</v>
      </c>
      <c r="H67" s="15" t="s">
        <v>20</v>
      </c>
      <c r="I67" s="15">
        <v>1</v>
      </c>
      <c r="J67" s="15" t="s">
        <v>21</v>
      </c>
      <c r="K67" s="12" t="s">
        <v>22</v>
      </c>
      <c r="L67" s="13">
        <v>35</v>
      </c>
    </row>
    <row r="68" spans="1:12" s="10" customFormat="1" ht="27" x14ac:dyDescent="0.25">
      <c r="A68" s="11">
        <v>64</v>
      </c>
      <c r="B68" s="14" t="s">
        <v>57</v>
      </c>
      <c r="C68" s="15" t="s">
        <v>15</v>
      </c>
      <c r="D68" s="15" t="s">
        <v>196</v>
      </c>
      <c r="E68" s="15" t="s">
        <v>197</v>
      </c>
      <c r="F68" s="15" t="s">
        <v>198</v>
      </c>
      <c r="G68" s="15" t="s">
        <v>19</v>
      </c>
      <c r="H68" s="15" t="s">
        <v>20</v>
      </c>
      <c r="I68" s="15">
        <v>1</v>
      </c>
      <c r="J68" s="15" t="s">
        <v>21</v>
      </c>
      <c r="K68" s="12" t="s">
        <v>22</v>
      </c>
      <c r="L68" s="13">
        <v>35</v>
      </c>
    </row>
    <row r="69" spans="1:12" s="10" customFormat="1" ht="27" x14ac:dyDescent="0.25">
      <c r="A69" s="11">
        <v>65</v>
      </c>
      <c r="B69" s="14" t="s">
        <v>57</v>
      </c>
      <c r="C69" s="15" t="s">
        <v>15</v>
      </c>
      <c r="D69" s="15" t="s">
        <v>199</v>
      </c>
      <c r="E69" s="15" t="s">
        <v>200</v>
      </c>
      <c r="F69" s="15" t="s">
        <v>201</v>
      </c>
      <c r="G69" s="15" t="s">
        <v>19</v>
      </c>
      <c r="H69" s="15" t="s">
        <v>20</v>
      </c>
      <c r="I69" s="15">
        <v>1</v>
      </c>
      <c r="J69" s="15" t="s">
        <v>21</v>
      </c>
      <c r="K69" s="12" t="s">
        <v>22</v>
      </c>
      <c r="L69" s="13">
        <v>35</v>
      </c>
    </row>
    <row r="70" spans="1:12" s="10" customFormat="1" ht="27" x14ac:dyDescent="0.25">
      <c r="A70" s="11">
        <v>66</v>
      </c>
      <c r="B70" s="14" t="s">
        <v>57</v>
      </c>
      <c r="C70" s="15" t="s">
        <v>15</v>
      </c>
      <c r="D70" s="15" t="s">
        <v>202</v>
      </c>
      <c r="E70" s="15" t="s">
        <v>203</v>
      </c>
      <c r="F70" s="15" t="s">
        <v>204</v>
      </c>
      <c r="G70" s="15" t="s">
        <v>19</v>
      </c>
      <c r="H70" s="15" t="s">
        <v>20</v>
      </c>
      <c r="I70" s="15">
        <v>1</v>
      </c>
      <c r="J70" s="15" t="s">
        <v>21</v>
      </c>
      <c r="K70" s="12" t="s">
        <v>22</v>
      </c>
      <c r="L70" s="13">
        <v>35</v>
      </c>
    </row>
    <row r="71" spans="1:12" s="10" customFormat="1" ht="27" x14ac:dyDescent="0.25">
      <c r="A71" s="11">
        <v>67</v>
      </c>
      <c r="B71" s="14" t="s">
        <v>57</v>
      </c>
      <c r="C71" s="15" t="s">
        <v>15</v>
      </c>
      <c r="D71" s="15" t="s">
        <v>205</v>
      </c>
      <c r="E71" s="15" t="s">
        <v>206</v>
      </c>
      <c r="F71" s="15" t="s">
        <v>207</v>
      </c>
      <c r="G71" s="15" t="s">
        <v>19</v>
      </c>
      <c r="H71" s="15" t="s">
        <v>20</v>
      </c>
      <c r="I71" s="15">
        <v>1</v>
      </c>
      <c r="J71" s="15" t="s">
        <v>21</v>
      </c>
      <c r="K71" s="12" t="s">
        <v>22</v>
      </c>
      <c r="L71" s="13">
        <v>35</v>
      </c>
    </row>
    <row r="72" spans="1:12" s="10" customFormat="1" ht="27" x14ac:dyDescent="0.25">
      <c r="A72" s="11">
        <v>68</v>
      </c>
      <c r="B72" s="14" t="s">
        <v>57</v>
      </c>
      <c r="C72" s="15" t="s">
        <v>15</v>
      </c>
      <c r="D72" s="15" t="s">
        <v>208</v>
      </c>
      <c r="E72" s="15" t="s">
        <v>209</v>
      </c>
      <c r="F72" s="15" t="s">
        <v>210</v>
      </c>
      <c r="G72" s="15" t="s">
        <v>19</v>
      </c>
      <c r="H72" s="15" t="s">
        <v>20</v>
      </c>
      <c r="I72" s="15">
        <v>1</v>
      </c>
      <c r="J72" s="15" t="s">
        <v>21</v>
      </c>
      <c r="K72" s="12" t="s">
        <v>22</v>
      </c>
      <c r="L72" s="13">
        <v>35</v>
      </c>
    </row>
    <row r="73" spans="1:12" s="10" customFormat="1" ht="27" x14ac:dyDescent="0.25">
      <c r="A73" s="11">
        <v>69</v>
      </c>
      <c r="B73" s="14" t="s">
        <v>57</v>
      </c>
      <c r="C73" s="15" t="s">
        <v>15</v>
      </c>
      <c r="D73" s="15" t="s">
        <v>211</v>
      </c>
      <c r="E73" s="15" t="s">
        <v>212</v>
      </c>
      <c r="F73" s="15" t="s">
        <v>213</v>
      </c>
      <c r="G73" s="15" t="s">
        <v>19</v>
      </c>
      <c r="H73" s="15" t="s">
        <v>20</v>
      </c>
      <c r="I73" s="15">
        <v>1</v>
      </c>
      <c r="J73" s="15" t="s">
        <v>21</v>
      </c>
      <c r="K73" s="12" t="s">
        <v>22</v>
      </c>
      <c r="L73" s="13">
        <v>35</v>
      </c>
    </row>
    <row r="74" spans="1:12" s="10" customFormat="1" ht="27" x14ac:dyDescent="0.25">
      <c r="A74" s="11">
        <v>70</v>
      </c>
      <c r="B74" s="14" t="s">
        <v>57</v>
      </c>
      <c r="C74" s="15" t="s">
        <v>15</v>
      </c>
      <c r="D74" s="15" t="s">
        <v>214</v>
      </c>
      <c r="E74" s="15" t="s">
        <v>215</v>
      </c>
      <c r="F74" s="15" t="s">
        <v>216</v>
      </c>
      <c r="G74" s="15" t="s">
        <v>19</v>
      </c>
      <c r="H74" s="15" t="s">
        <v>20</v>
      </c>
      <c r="I74" s="15">
        <v>1</v>
      </c>
      <c r="J74" s="15" t="s">
        <v>21</v>
      </c>
      <c r="K74" s="12" t="s">
        <v>22</v>
      </c>
      <c r="L74" s="13">
        <v>35</v>
      </c>
    </row>
    <row r="75" spans="1:12" s="10" customFormat="1" ht="27" x14ac:dyDescent="0.25">
      <c r="A75" s="11">
        <v>71</v>
      </c>
      <c r="B75" s="14" t="s">
        <v>57</v>
      </c>
      <c r="C75" s="15" t="s">
        <v>15</v>
      </c>
      <c r="D75" s="15" t="s">
        <v>217</v>
      </c>
      <c r="E75" s="15" t="s">
        <v>218</v>
      </c>
      <c r="F75" s="15" t="s">
        <v>219</v>
      </c>
      <c r="G75" s="15" t="s">
        <v>19</v>
      </c>
      <c r="H75" s="15" t="s">
        <v>20</v>
      </c>
      <c r="I75" s="15">
        <v>1</v>
      </c>
      <c r="J75" s="15" t="s">
        <v>21</v>
      </c>
      <c r="K75" s="12" t="s">
        <v>22</v>
      </c>
      <c r="L75" s="13">
        <v>35</v>
      </c>
    </row>
    <row r="76" spans="1:12" s="10" customFormat="1" ht="27" x14ac:dyDescent="0.25">
      <c r="A76" s="11">
        <v>72</v>
      </c>
      <c r="B76" s="14" t="s">
        <v>57</v>
      </c>
      <c r="C76" s="15" t="s">
        <v>15</v>
      </c>
      <c r="D76" s="15" t="s">
        <v>220</v>
      </c>
      <c r="E76" s="15" t="s">
        <v>221</v>
      </c>
      <c r="F76" s="15" t="s">
        <v>222</v>
      </c>
      <c r="G76" s="15" t="s">
        <v>19</v>
      </c>
      <c r="H76" s="15" t="s">
        <v>20</v>
      </c>
      <c r="I76" s="15">
        <v>1</v>
      </c>
      <c r="J76" s="15" t="s">
        <v>21</v>
      </c>
      <c r="K76" s="12" t="s">
        <v>22</v>
      </c>
      <c r="L76" s="13">
        <v>35</v>
      </c>
    </row>
    <row r="77" spans="1:12" s="10" customFormat="1" ht="27" x14ac:dyDescent="0.25">
      <c r="A77" s="11">
        <v>73</v>
      </c>
      <c r="B77" s="14" t="s">
        <v>57</v>
      </c>
      <c r="C77" s="15" t="s">
        <v>15</v>
      </c>
      <c r="D77" s="15" t="s">
        <v>223</v>
      </c>
      <c r="E77" s="15" t="s">
        <v>224</v>
      </c>
      <c r="F77" s="15" t="s">
        <v>225</v>
      </c>
      <c r="G77" s="15" t="s">
        <v>19</v>
      </c>
      <c r="H77" s="15" t="s">
        <v>20</v>
      </c>
      <c r="I77" s="15">
        <v>1</v>
      </c>
      <c r="J77" s="15" t="s">
        <v>21</v>
      </c>
      <c r="K77" s="12" t="s">
        <v>22</v>
      </c>
      <c r="L77" s="13">
        <v>35</v>
      </c>
    </row>
    <row r="78" spans="1:12" s="10" customFormat="1" ht="27" x14ac:dyDescent="0.25">
      <c r="A78" s="11">
        <v>74</v>
      </c>
      <c r="B78" s="14" t="s">
        <v>57</v>
      </c>
      <c r="C78" s="15" t="s">
        <v>15</v>
      </c>
      <c r="D78" s="15" t="s">
        <v>226</v>
      </c>
      <c r="E78" s="15" t="s">
        <v>227</v>
      </c>
      <c r="F78" s="15" t="s">
        <v>228</v>
      </c>
      <c r="G78" s="15" t="s">
        <v>19</v>
      </c>
      <c r="H78" s="15" t="s">
        <v>20</v>
      </c>
      <c r="I78" s="15">
        <v>1</v>
      </c>
      <c r="J78" s="15" t="s">
        <v>21</v>
      </c>
      <c r="K78" s="12" t="s">
        <v>22</v>
      </c>
      <c r="L78" s="13">
        <v>35</v>
      </c>
    </row>
    <row r="79" spans="1:12" s="10" customFormat="1" ht="27" x14ac:dyDescent="0.25">
      <c r="A79" s="11">
        <v>75</v>
      </c>
      <c r="B79" s="14" t="s">
        <v>57</v>
      </c>
      <c r="C79" s="15" t="s">
        <v>15</v>
      </c>
      <c r="D79" s="15" t="s">
        <v>229</v>
      </c>
      <c r="E79" s="15" t="s">
        <v>230</v>
      </c>
      <c r="F79" s="15" t="s">
        <v>231</v>
      </c>
      <c r="G79" s="15" t="s">
        <v>19</v>
      </c>
      <c r="H79" s="15" t="s">
        <v>20</v>
      </c>
      <c r="I79" s="15">
        <v>1</v>
      </c>
      <c r="J79" s="15" t="s">
        <v>21</v>
      </c>
      <c r="K79" s="12" t="s">
        <v>22</v>
      </c>
      <c r="L79" s="13">
        <v>35</v>
      </c>
    </row>
    <row r="80" spans="1:12" s="10" customFormat="1" ht="27" x14ac:dyDescent="0.25">
      <c r="A80" s="11">
        <v>76</v>
      </c>
      <c r="B80" s="14" t="s">
        <v>57</v>
      </c>
      <c r="C80" s="15" t="s">
        <v>15</v>
      </c>
      <c r="D80" s="15" t="s">
        <v>232</v>
      </c>
      <c r="E80" s="15" t="s">
        <v>233</v>
      </c>
      <c r="F80" s="15" t="s">
        <v>234</v>
      </c>
      <c r="G80" s="15" t="s">
        <v>19</v>
      </c>
      <c r="H80" s="15" t="s">
        <v>20</v>
      </c>
      <c r="I80" s="15">
        <v>1</v>
      </c>
      <c r="J80" s="15" t="s">
        <v>21</v>
      </c>
      <c r="K80" s="12" t="s">
        <v>22</v>
      </c>
      <c r="L80" s="13">
        <v>35</v>
      </c>
    </row>
    <row r="81" spans="1:12" s="10" customFormat="1" ht="27" x14ac:dyDescent="0.25">
      <c r="A81" s="11">
        <v>77</v>
      </c>
      <c r="B81" s="14" t="s">
        <v>57</v>
      </c>
      <c r="C81" s="15" t="s">
        <v>15</v>
      </c>
      <c r="D81" s="15" t="s">
        <v>235</v>
      </c>
      <c r="E81" s="15" t="s">
        <v>236</v>
      </c>
      <c r="F81" s="15" t="s">
        <v>237</v>
      </c>
      <c r="G81" s="15" t="s">
        <v>19</v>
      </c>
      <c r="H81" s="15" t="s">
        <v>20</v>
      </c>
      <c r="I81" s="15">
        <v>1</v>
      </c>
      <c r="J81" s="15" t="s">
        <v>21</v>
      </c>
      <c r="K81" s="12" t="s">
        <v>22</v>
      </c>
      <c r="L81" s="13">
        <v>35</v>
      </c>
    </row>
    <row r="82" spans="1:12" s="10" customFormat="1" ht="27" x14ac:dyDescent="0.25">
      <c r="A82" s="11">
        <v>78</v>
      </c>
      <c r="B82" s="14" t="s">
        <v>57</v>
      </c>
      <c r="C82" s="15" t="s">
        <v>15</v>
      </c>
      <c r="D82" s="15" t="s">
        <v>238</v>
      </c>
      <c r="E82" s="15" t="s">
        <v>239</v>
      </c>
      <c r="F82" s="15" t="s">
        <v>240</v>
      </c>
      <c r="G82" s="15" t="s">
        <v>19</v>
      </c>
      <c r="H82" s="15" t="s">
        <v>20</v>
      </c>
      <c r="I82" s="15">
        <v>1</v>
      </c>
      <c r="J82" s="15" t="s">
        <v>21</v>
      </c>
      <c r="K82" s="12" t="s">
        <v>22</v>
      </c>
      <c r="L82" s="13">
        <v>35</v>
      </c>
    </row>
    <row r="83" spans="1:12" s="10" customFormat="1" ht="27" x14ac:dyDescent="0.25">
      <c r="A83" s="11">
        <v>79</v>
      </c>
      <c r="B83" s="14" t="s">
        <v>57</v>
      </c>
      <c r="C83" s="15" t="s">
        <v>15</v>
      </c>
      <c r="D83" s="15" t="s">
        <v>241</v>
      </c>
      <c r="E83" s="15" t="s">
        <v>242</v>
      </c>
      <c r="F83" s="15" t="s">
        <v>243</v>
      </c>
      <c r="G83" s="15" t="s">
        <v>19</v>
      </c>
      <c r="H83" s="15" t="s">
        <v>20</v>
      </c>
      <c r="I83" s="15">
        <v>1</v>
      </c>
      <c r="J83" s="15" t="s">
        <v>21</v>
      </c>
      <c r="K83" s="12" t="s">
        <v>22</v>
      </c>
      <c r="L83" s="13">
        <v>35</v>
      </c>
    </row>
    <row r="84" spans="1:12" s="10" customFormat="1" ht="27" x14ac:dyDescent="0.25">
      <c r="A84" s="11">
        <v>80</v>
      </c>
      <c r="B84" s="14" t="s">
        <v>57</v>
      </c>
      <c r="C84" s="15" t="s">
        <v>15</v>
      </c>
      <c r="D84" s="15" t="s">
        <v>244</v>
      </c>
      <c r="E84" s="15" t="s">
        <v>245</v>
      </c>
      <c r="F84" s="15" t="s">
        <v>246</v>
      </c>
      <c r="G84" s="15" t="s">
        <v>19</v>
      </c>
      <c r="H84" s="15" t="s">
        <v>20</v>
      </c>
      <c r="I84" s="15">
        <v>1</v>
      </c>
      <c r="J84" s="15" t="s">
        <v>21</v>
      </c>
      <c r="K84" s="12" t="s">
        <v>22</v>
      </c>
      <c r="L84" s="13">
        <v>35</v>
      </c>
    </row>
    <row r="85" spans="1:12" s="10" customFormat="1" ht="27" x14ac:dyDescent="0.25">
      <c r="A85" s="11">
        <v>81</v>
      </c>
      <c r="B85" s="14" t="s">
        <v>57</v>
      </c>
      <c r="C85" s="15" t="s">
        <v>15</v>
      </c>
      <c r="D85" s="15" t="s">
        <v>247</v>
      </c>
      <c r="E85" s="15" t="s">
        <v>248</v>
      </c>
      <c r="F85" s="15" t="s">
        <v>249</v>
      </c>
      <c r="G85" s="15" t="s">
        <v>19</v>
      </c>
      <c r="H85" s="15" t="s">
        <v>20</v>
      </c>
      <c r="I85" s="15">
        <v>1</v>
      </c>
      <c r="J85" s="15" t="s">
        <v>21</v>
      </c>
      <c r="K85" s="12" t="s">
        <v>22</v>
      </c>
      <c r="L85" s="13">
        <v>35</v>
      </c>
    </row>
    <row r="86" spans="1:12" s="10" customFormat="1" ht="27" x14ac:dyDescent="0.25">
      <c r="A86" s="11">
        <v>82</v>
      </c>
      <c r="B86" s="14" t="s">
        <v>57</v>
      </c>
      <c r="C86" s="15" t="s">
        <v>15</v>
      </c>
      <c r="D86" s="15" t="s">
        <v>250</v>
      </c>
      <c r="E86" s="15" t="s">
        <v>251</v>
      </c>
      <c r="F86" s="15" t="s">
        <v>252</v>
      </c>
      <c r="G86" s="15" t="s">
        <v>19</v>
      </c>
      <c r="H86" s="15" t="s">
        <v>20</v>
      </c>
      <c r="I86" s="15">
        <v>1</v>
      </c>
      <c r="J86" s="15" t="s">
        <v>21</v>
      </c>
      <c r="K86" s="12" t="s">
        <v>22</v>
      </c>
      <c r="L86" s="13">
        <v>35</v>
      </c>
    </row>
    <row r="87" spans="1:12" s="10" customFormat="1" ht="27" x14ac:dyDescent="0.25">
      <c r="A87" s="11">
        <v>83</v>
      </c>
      <c r="B87" s="14" t="s">
        <v>57</v>
      </c>
      <c r="C87" s="15" t="s">
        <v>15</v>
      </c>
      <c r="D87" s="15" t="s">
        <v>253</v>
      </c>
      <c r="E87" s="15" t="s">
        <v>254</v>
      </c>
      <c r="F87" s="15" t="s">
        <v>255</v>
      </c>
      <c r="G87" s="15" t="s">
        <v>19</v>
      </c>
      <c r="H87" s="15" t="s">
        <v>20</v>
      </c>
      <c r="I87" s="15">
        <v>1</v>
      </c>
      <c r="J87" s="15" t="s">
        <v>21</v>
      </c>
      <c r="K87" s="12" t="s">
        <v>22</v>
      </c>
      <c r="L87" s="13">
        <v>35</v>
      </c>
    </row>
    <row r="88" spans="1:12" s="10" customFormat="1" ht="27" x14ac:dyDescent="0.25">
      <c r="A88" s="11">
        <v>84</v>
      </c>
      <c r="B88" s="14" t="s">
        <v>57</v>
      </c>
      <c r="C88" s="15" t="s">
        <v>15</v>
      </c>
      <c r="D88" s="15" t="s">
        <v>256</v>
      </c>
      <c r="E88" s="15" t="s">
        <v>257</v>
      </c>
      <c r="F88" s="15" t="s">
        <v>258</v>
      </c>
      <c r="G88" s="15" t="s">
        <v>19</v>
      </c>
      <c r="H88" s="15" t="s">
        <v>20</v>
      </c>
      <c r="I88" s="15">
        <v>1</v>
      </c>
      <c r="J88" s="15" t="s">
        <v>21</v>
      </c>
      <c r="K88" s="12" t="s">
        <v>22</v>
      </c>
      <c r="L88" s="13">
        <v>35</v>
      </c>
    </row>
    <row r="89" spans="1:12" s="10" customFormat="1" ht="27" x14ac:dyDescent="0.25">
      <c r="A89" s="11">
        <v>85</v>
      </c>
      <c r="B89" s="14" t="s">
        <v>57</v>
      </c>
      <c r="C89" s="15" t="s">
        <v>15</v>
      </c>
      <c r="D89" s="15" t="s">
        <v>259</v>
      </c>
      <c r="E89" s="15" t="s">
        <v>260</v>
      </c>
      <c r="F89" s="15" t="s">
        <v>261</v>
      </c>
      <c r="G89" s="15" t="s">
        <v>19</v>
      </c>
      <c r="H89" s="15" t="s">
        <v>20</v>
      </c>
      <c r="I89" s="15">
        <v>1</v>
      </c>
      <c r="J89" s="15" t="s">
        <v>21</v>
      </c>
      <c r="K89" s="12" t="s">
        <v>22</v>
      </c>
      <c r="L89" s="13">
        <v>35</v>
      </c>
    </row>
    <row r="90" spans="1:12" s="10" customFormat="1" ht="27" x14ac:dyDescent="0.25">
      <c r="A90" s="11">
        <v>86</v>
      </c>
      <c r="B90" s="14" t="s">
        <v>57</v>
      </c>
      <c r="C90" s="15" t="s">
        <v>15</v>
      </c>
      <c r="D90" s="15" t="s">
        <v>262</v>
      </c>
      <c r="E90" s="15" t="s">
        <v>263</v>
      </c>
      <c r="F90" s="15" t="s">
        <v>264</v>
      </c>
      <c r="G90" s="15" t="s">
        <v>19</v>
      </c>
      <c r="H90" s="15" t="s">
        <v>20</v>
      </c>
      <c r="I90" s="15">
        <v>1</v>
      </c>
      <c r="J90" s="15" t="s">
        <v>21</v>
      </c>
      <c r="K90" s="12" t="s">
        <v>22</v>
      </c>
      <c r="L90" s="13">
        <v>35</v>
      </c>
    </row>
    <row r="91" spans="1:12" s="10" customFormat="1" ht="27" x14ac:dyDescent="0.25">
      <c r="A91" s="11">
        <v>87</v>
      </c>
      <c r="B91" s="14" t="s">
        <v>57</v>
      </c>
      <c r="C91" s="15" t="s">
        <v>15</v>
      </c>
      <c r="D91" s="15" t="s">
        <v>265</v>
      </c>
      <c r="E91" s="15" t="s">
        <v>266</v>
      </c>
      <c r="F91" s="15" t="s">
        <v>267</v>
      </c>
      <c r="G91" s="15" t="s">
        <v>19</v>
      </c>
      <c r="H91" s="15" t="s">
        <v>20</v>
      </c>
      <c r="I91" s="15">
        <v>1</v>
      </c>
      <c r="J91" s="15" t="s">
        <v>21</v>
      </c>
      <c r="K91" s="12" t="s">
        <v>22</v>
      </c>
      <c r="L91" s="13">
        <v>35</v>
      </c>
    </row>
    <row r="92" spans="1:12" s="10" customFormat="1" ht="27" x14ac:dyDescent="0.25">
      <c r="A92" s="11">
        <v>88</v>
      </c>
      <c r="B92" s="14" t="s">
        <v>57</v>
      </c>
      <c r="C92" s="15" t="s">
        <v>15</v>
      </c>
      <c r="D92" s="15" t="s">
        <v>268</v>
      </c>
      <c r="E92" s="15" t="s">
        <v>269</v>
      </c>
      <c r="F92" s="15" t="s">
        <v>270</v>
      </c>
      <c r="G92" s="15" t="s">
        <v>19</v>
      </c>
      <c r="H92" s="15" t="s">
        <v>20</v>
      </c>
      <c r="I92" s="15">
        <v>1</v>
      </c>
      <c r="J92" s="15" t="s">
        <v>21</v>
      </c>
      <c r="K92" s="12" t="s">
        <v>22</v>
      </c>
      <c r="L92" s="13">
        <v>35</v>
      </c>
    </row>
    <row r="93" spans="1:12" s="10" customFormat="1" ht="27" x14ac:dyDescent="0.25">
      <c r="A93" s="11">
        <v>89</v>
      </c>
      <c r="B93" s="14" t="s">
        <v>57</v>
      </c>
      <c r="C93" s="15" t="s">
        <v>15</v>
      </c>
      <c r="D93" s="15" t="s">
        <v>271</v>
      </c>
      <c r="E93" s="15" t="s">
        <v>272</v>
      </c>
      <c r="F93" s="15" t="s">
        <v>273</v>
      </c>
      <c r="G93" s="15" t="s">
        <v>19</v>
      </c>
      <c r="H93" s="15" t="s">
        <v>20</v>
      </c>
      <c r="I93" s="15">
        <v>1</v>
      </c>
      <c r="J93" s="15" t="s">
        <v>21</v>
      </c>
      <c r="K93" s="12" t="s">
        <v>22</v>
      </c>
      <c r="L93" s="13">
        <v>35</v>
      </c>
    </row>
    <row r="94" spans="1:12" s="10" customFormat="1" ht="27" x14ac:dyDescent="0.25">
      <c r="A94" s="11">
        <v>90</v>
      </c>
      <c r="B94" s="14" t="s">
        <v>57</v>
      </c>
      <c r="C94" s="15" t="s">
        <v>15</v>
      </c>
      <c r="D94" s="15" t="s">
        <v>274</v>
      </c>
      <c r="E94" s="15" t="s">
        <v>275</v>
      </c>
      <c r="F94" s="15" t="s">
        <v>276</v>
      </c>
      <c r="G94" s="15" t="s">
        <v>19</v>
      </c>
      <c r="H94" s="15" t="s">
        <v>20</v>
      </c>
      <c r="I94" s="15">
        <v>1</v>
      </c>
      <c r="J94" s="15" t="s">
        <v>21</v>
      </c>
      <c r="K94" s="12" t="s">
        <v>22</v>
      </c>
      <c r="L94" s="13">
        <v>35</v>
      </c>
    </row>
    <row r="95" spans="1:12" s="10" customFormat="1" ht="27" x14ac:dyDescent="0.25">
      <c r="A95" s="11">
        <v>91</v>
      </c>
      <c r="B95" s="14" t="s">
        <v>57</v>
      </c>
      <c r="C95" s="15" t="s">
        <v>15</v>
      </c>
      <c r="D95" s="15" t="s">
        <v>277</v>
      </c>
      <c r="E95" s="15" t="s">
        <v>278</v>
      </c>
      <c r="F95" s="15" t="s">
        <v>279</v>
      </c>
      <c r="G95" s="15" t="s">
        <v>19</v>
      </c>
      <c r="H95" s="15" t="s">
        <v>20</v>
      </c>
      <c r="I95" s="15">
        <v>1</v>
      </c>
      <c r="J95" s="15" t="s">
        <v>21</v>
      </c>
      <c r="K95" s="12" t="s">
        <v>22</v>
      </c>
      <c r="L95" s="13">
        <v>35</v>
      </c>
    </row>
    <row r="96" spans="1:12" s="10" customFormat="1" ht="27" x14ac:dyDescent="0.25">
      <c r="A96" s="11">
        <v>92</v>
      </c>
      <c r="B96" s="14" t="s">
        <v>57</v>
      </c>
      <c r="C96" s="15" t="s">
        <v>15</v>
      </c>
      <c r="D96" s="15" t="s">
        <v>280</v>
      </c>
      <c r="E96" s="15" t="s">
        <v>281</v>
      </c>
      <c r="F96" s="15" t="s">
        <v>282</v>
      </c>
      <c r="G96" s="15" t="s">
        <v>19</v>
      </c>
      <c r="H96" s="15" t="s">
        <v>20</v>
      </c>
      <c r="I96" s="15">
        <v>1</v>
      </c>
      <c r="J96" s="15" t="s">
        <v>21</v>
      </c>
      <c r="K96" s="12" t="s">
        <v>22</v>
      </c>
      <c r="L96" s="13">
        <v>35</v>
      </c>
    </row>
    <row r="97" spans="1:12" s="10" customFormat="1" ht="27" x14ac:dyDescent="0.25">
      <c r="A97" s="11">
        <v>93</v>
      </c>
      <c r="B97" s="14" t="s">
        <v>57</v>
      </c>
      <c r="C97" s="15" t="s">
        <v>15</v>
      </c>
      <c r="D97" s="15" t="s">
        <v>283</v>
      </c>
      <c r="E97" s="15" t="s">
        <v>284</v>
      </c>
      <c r="F97" s="15" t="s">
        <v>285</v>
      </c>
      <c r="G97" s="15" t="s">
        <v>19</v>
      </c>
      <c r="H97" s="15" t="s">
        <v>20</v>
      </c>
      <c r="I97" s="15">
        <v>1</v>
      </c>
      <c r="J97" s="15" t="s">
        <v>21</v>
      </c>
      <c r="K97" s="12" t="s">
        <v>22</v>
      </c>
      <c r="L97" s="13">
        <v>35</v>
      </c>
    </row>
    <row r="98" spans="1:12" s="10" customFormat="1" ht="27" x14ac:dyDescent="0.25">
      <c r="A98" s="11">
        <v>94</v>
      </c>
      <c r="B98" s="14" t="s">
        <v>57</v>
      </c>
      <c r="C98" s="15" t="s">
        <v>15</v>
      </c>
      <c r="D98" s="15" t="s">
        <v>286</v>
      </c>
      <c r="E98" s="15" t="s">
        <v>287</v>
      </c>
      <c r="F98" s="15" t="s">
        <v>288</v>
      </c>
      <c r="G98" s="15" t="s">
        <v>19</v>
      </c>
      <c r="H98" s="15" t="s">
        <v>20</v>
      </c>
      <c r="I98" s="15">
        <v>1</v>
      </c>
      <c r="J98" s="15" t="s">
        <v>21</v>
      </c>
      <c r="K98" s="12" t="s">
        <v>22</v>
      </c>
      <c r="L98" s="13">
        <v>35</v>
      </c>
    </row>
    <row r="99" spans="1:12" s="10" customFormat="1" ht="27" x14ac:dyDescent="0.25">
      <c r="A99" s="11">
        <v>95</v>
      </c>
      <c r="B99" s="14" t="s">
        <v>57</v>
      </c>
      <c r="C99" s="15" t="s">
        <v>15</v>
      </c>
      <c r="D99" s="15" t="s">
        <v>289</v>
      </c>
      <c r="E99" s="15" t="s">
        <v>290</v>
      </c>
      <c r="F99" s="15" t="s">
        <v>291</v>
      </c>
      <c r="G99" s="15" t="s">
        <v>19</v>
      </c>
      <c r="H99" s="15" t="s">
        <v>20</v>
      </c>
      <c r="I99" s="15">
        <v>1</v>
      </c>
      <c r="J99" s="15" t="s">
        <v>21</v>
      </c>
      <c r="K99" s="12" t="s">
        <v>22</v>
      </c>
      <c r="L99" s="13">
        <v>35</v>
      </c>
    </row>
    <row r="100" spans="1:12" s="10" customFormat="1" ht="27" x14ac:dyDescent="0.25">
      <c r="A100" s="11">
        <v>96</v>
      </c>
      <c r="B100" s="14" t="s">
        <v>57</v>
      </c>
      <c r="C100" s="15" t="s">
        <v>15</v>
      </c>
      <c r="D100" s="15" t="s">
        <v>226</v>
      </c>
      <c r="E100" s="15" t="s">
        <v>292</v>
      </c>
      <c r="F100" s="15" t="s">
        <v>293</v>
      </c>
      <c r="G100" s="15" t="s">
        <v>19</v>
      </c>
      <c r="H100" s="15" t="s">
        <v>20</v>
      </c>
      <c r="I100" s="15">
        <v>1</v>
      </c>
      <c r="J100" s="15" t="s">
        <v>21</v>
      </c>
      <c r="K100" s="12" t="s">
        <v>22</v>
      </c>
      <c r="L100" s="13">
        <v>35</v>
      </c>
    </row>
    <row r="101" spans="1:12" s="10" customFormat="1" ht="27" x14ac:dyDescent="0.25">
      <c r="A101" s="11">
        <v>97</v>
      </c>
      <c r="B101" s="14" t="s">
        <v>57</v>
      </c>
      <c r="C101" s="15" t="s">
        <v>15</v>
      </c>
      <c r="D101" s="15" t="s">
        <v>229</v>
      </c>
      <c r="E101" s="15" t="s">
        <v>294</v>
      </c>
      <c r="F101" s="15" t="s">
        <v>295</v>
      </c>
      <c r="G101" s="15" t="s">
        <v>19</v>
      </c>
      <c r="H101" s="15" t="s">
        <v>20</v>
      </c>
      <c r="I101" s="15">
        <v>1</v>
      </c>
      <c r="J101" s="15" t="s">
        <v>21</v>
      </c>
      <c r="K101" s="12" t="s">
        <v>22</v>
      </c>
      <c r="L101" s="13">
        <v>35</v>
      </c>
    </row>
    <row r="102" spans="1:12" s="10" customFormat="1" ht="27" x14ac:dyDescent="0.25">
      <c r="A102" s="11">
        <v>98</v>
      </c>
      <c r="B102" s="14" t="s">
        <v>57</v>
      </c>
      <c r="C102" s="15" t="s">
        <v>15</v>
      </c>
      <c r="D102" s="15" t="s">
        <v>296</v>
      </c>
      <c r="E102" s="15" t="s">
        <v>297</v>
      </c>
      <c r="F102" s="15" t="s">
        <v>298</v>
      </c>
      <c r="G102" s="15" t="s">
        <v>19</v>
      </c>
      <c r="H102" s="15" t="s">
        <v>20</v>
      </c>
      <c r="I102" s="15">
        <v>1</v>
      </c>
      <c r="J102" s="15" t="s">
        <v>21</v>
      </c>
      <c r="K102" s="12" t="s">
        <v>22</v>
      </c>
      <c r="L102" s="13">
        <v>35</v>
      </c>
    </row>
    <row r="103" spans="1:12" s="10" customFormat="1" ht="27" x14ac:dyDescent="0.25">
      <c r="A103" s="11">
        <v>99</v>
      </c>
      <c r="B103" s="14" t="s">
        <v>57</v>
      </c>
      <c r="C103" s="15" t="s">
        <v>15</v>
      </c>
      <c r="D103" s="15" t="s">
        <v>299</v>
      </c>
      <c r="E103" s="15" t="s">
        <v>300</v>
      </c>
      <c r="F103" s="15" t="s">
        <v>301</v>
      </c>
      <c r="G103" s="15" t="s">
        <v>19</v>
      </c>
      <c r="H103" s="15" t="s">
        <v>20</v>
      </c>
      <c r="I103" s="15">
        <v>1</v>
      </c>
      <c r="J103" s="15" t="s">
        <v>21</v>
      </c>
      <c r="K103" s="12" t="s">
        <v>22</v>
      </c>
      <c r="L103" s="13">
        <v>35</v>
      </c>
    </row>
    <row r="104" spans="1:12" s="10" customFormat="1" ht="27" x14ac:dyDescent="0.25">
      <c r="A104" s="11">
        <v>100</v>
      </c>
      <c r="B104" s="14" t="s">
        <v>57</v>
      </c>
      <c r="C104" s="15" t="s">
        <v>15</v>
      </c>
      <c r="D104" s="15" t="s">
        <v>302</v>
      </c>
      <c r="E104" s="15" t="s">
        <v>303</v>
      </c>
      <c r="F104" s="15" t="s">
        <v>304</v>
      </c>
      <c r="G104" s="15" t="s">
        <v>19</v>
      </c>
      <c r="H104" s="15" t="s">
        <v>20</v>
      </c>
      <c r="I104" s="15">
        <v>1</v>
      </c>
      <c r="J104" s="15" t="s">
        <v>21</v>
      </c>
      <c r="K104" s="12" t="s">
        <v>22</v>
      </c>
      <c r="L104" s="13">
        <v>35</v>
      </c>
    </row>
    <row r="105" spans="1:12" s="10" customFormat="1" ht="27" x14ac:dyDescent="0.25">
      <c r="A105" s="11">
        <v>101</v>
      </c>
      <c r="B105" s="14" t="s">
        <v>57</v>
      </c>
      <c r="C105" s="15" t="s">
        <v>15</v>
      </c>
      <c r="D105" s="15" t="s">
        <v>305</v>
      </c>
      <c r="E105" s="15" t="s">
        <v>306</v>
      </c>
      <c r="F105" s="15" t="s">
        <v>307</v>
      </c>
      <c r="G105" s="15" t="s">
        <v>19</v>
      </c>
      <c r="H105" s="15" t="s">
        <v>20</v>
      </c>
      <c r="I105" s="15">
        <v>1</v>
      </c>
      <c r="J105" s="15" t="s">
        <v>21</v>
      </c>
      <c r="K105" s="12" t="s">
        <v>22</v>
      </c>
      <c r="L105" s="13">
        <v>35</v>
      </c>
    </row>
    <row r="106" spans="1:12" s="10" customFormat="1" ht="27" x14ac:dyDescent="0.25">
      <c r="A106" s="11">
        <v>102</v>
      </c>
      <c r="B106" s="14" t="s">
        <v>57</v>
      </c>
      <c r="C106" s="15" t="s">
        <v>15</v>
      </c>
      <c r="D106" s="15" t="s">
        <v>308</v>
      </c>
      <c r="E106" s="15" t="s">
        <v>309</v>
      </c>
      <c r="F106" s="15" t="s">
        <v>310</v>
      </c>
      <c r="G106" s="15" t="s">
        <v>19</v>
      </c>
      <c r="H106" s="15" t="s">
        <v>20</v>
      </c>
      <c r="I106" s="15">
        <v>1</v>
      </c>
      <c r="J106" s="15" t="s">
        <v>21</v>
      </c>
      <c r="K106" s="12" t="s">
        <v>22</v>
      </c>
      <c r="L106" s="13">
        <v>35</v>
      </c>
    </row>
    <row r="107" spans="1:12" s="10" customFormat="1" ht="27" x14ac:dyDescent="0.25">
      <c r="A107" s="11">
        <v>103</v>
      </c>
      <c r="B107" s="14" t="s">
        <v>57</v>
      </c>
      <c r="C107" s="15" t="s">
        <v>15</v>
      </c>
      <c r="D107" s="15" t="s">
        <v>311</v>
      </c>
      <c r="E107" s="15" t="s">
        <v>312</v>
      </c>
      <c r="F107" s="15" t="s">
        <v>313</v>
      </c>
      <c r="G107" s="15" t="s">
        <v>19</v>
      </c>
      <c r="H107" s="15" t="s">
        <v>20</v>
      </c>
      <c r="I107" s="15">
        <v>1</v>
      </c>
      <c r="J107" s="15" t="s">
        <v>21</v>
      </c>
      <c r="K107" s="12" t="s">
        <v>22</v>
      </c>
      <c r="L107" s="13">
        <v>35</v>
      </c>
    </row>
    <row r="108" spans="1:12" s="10" customFormat="1" ht="27" x14ac:dyDescent="0.25">
      <c r="A108" s="11">
        <v>104</v>
      </c>
      <c r="B108" s="14" t="s">
        <v>57</v>
      </c>
      <c r="C108" s="15" t="s">
        <v>15</v>
      </c>
      <c r="D108" s="15" t="s">
        <v>314</v>
      </c>
      <c r="E108" s="15" t="s">
        <v>315</v>
      </c>
      <c r="F108" s="15" t="s">
        <v>316</v>
      </c>
      <c r="G108" s="15" t="s">
        <v>19</v>
      </c>
      <c r="H108" s="15" t="s">
        <v>20</v>
      </c>
      <c r="I108" s="15">
        <v>1</v>
      </c>
      <c r="J108" s="15" t="s">
        <v>21</v>
      </c>
      <c r="K108" s="12" t="s">
        <v>22</v>
      </c>
      <c r="L108" s="13">
        <v>35</v>
      </c>
    </row>
    <row r="109" spans="1:12" s="10" customFormat="1" ht="27" x14ac:dyDescent="0.25">
      <c r="A109" s="11">
        <v>105</v>
      </c>
      <c r="B109" s="14" t="s">
        <v>57</v>
      </c>
      <c r="C109" s="15" t="s">
        <v>15</v>
      </c>
      <c r="D109" s="15" t="s">
        <v>317</v>
      </c>
      <c r="E109" s="15" t="s">
        <v>318</v>
      </c>
      <c r="F109" s="15" t="s">
        <v>319</v>
      </c>
      <c r="G109" s="15" t="s">
        <v>19</v>
      </c>
      <c r="H109" s="15" t="s">
        <v>20</v>
      </c>
      <c r="I109" s="15">
        <v>1</v>
      </c>
      <c r="J109" s="15" t="s">
        <v>21</v>
      </c>
      <c r="K109" s="12" t="s">
        <v>22</v>
      </c>
      <c r="L109" s="13">
        <v>35</v>
      </c>
    </row>
    <row r="110" spans="1:12" s="10" customFormat="1" ht="27" x14ac:dyDescent="0.25">
      <c r="A110" s="11">
        <v>106</v>
      </c>
      <c r="B110" s="14" t="s">
        <v>57</v>
      </c>
      <c r="C110" s="15" t="s">
        <v>15</v>
      </c>
      <c r="D110" s="15" t="s">
        <v>250</v>
      </c>
      <c r="E110" s="15" t="s">
        <v>320</v>
      </c>
      <c r="F110" s="15" t="s">
        <v>321</v>
      </c>
      <c r="G110" s="15" t="s">
        <v>19</v>
      </c>
      <c r="H110" s="15" t="s">
        <v>20</v>
      </c>
      <c r="I110" s="15">
        <v>1</v>
      </c>
      <c r="J110" s="15" t="s">
        <v>21</v>
      </c>
      <c r="K110" s="12" t="s">
        <v>22</v>
      </c>
      <c r="L110" s="13">
        <v>35</v>
      </c>
    </row>
    <row r="111" spans="1:12" s="10" customFormat="1" ht="27" x14ac:dyDescent="0.25">
      <c r="A111" s="11">
        <v>107</v>
      </c>
      <c r="B111" s="14" t="s">
        <v>57</v>
      </c>
      <c r="C111" s="15" t="s">
        <v>15</v>
      </c>
      <c r="D111" s="15" t="s">
        <v>322</v>
      </c>
      <c r="E111" s="15" t="s">
        <v>323</v>
      </c>
      <c r="F111" s="15" t="s">
        <v>324</v>
      </c>
      <c r="G111" s="15" t="s">
        <v>19</v>
      </c>
      <c r="H111" s="15" t="s">
        <v>20</v>
      </c>
      <c r="I111" s="15">
        <v>1</v>
      </c>
      <c r="J111" s="15" t="s">
        <v>21</v>
      </c>
      <c r="K111" s="12" t="s">
        <v>22</v>
      </c>
      <c r="L111" s="13">
        <v>35</v>
      </c>
    </row>
    <row r="112" spans="1:12" s="10" customFormat="1" ht="27" x14ac:dyDescent="0.25">
      <c r="A112" s="11">
        <v>108</v>
      </c>
      <c r="B112" s="14" t="s">
        <v>57</v>
      </c>
      <c r="C112" s="15" t="s">
        <v>15</v>
      </c>
      <c r="D112" s="15" t="s">
        <v>112</v>
      </c>
      <c r="E112" s="15" t="s">
        <v>325</v>
      </c>
      <c r="F112" s="15" t="s">
        <v>326</v>
      </c>
      <c r="G112" s="15" t="s">
        <v>19</v>
      </c>
      <c r="H112" s="15" t="s">
        <v>20</v>
      </c>
      <c r="I112" s="15">
        <v>1</v>
      </c>
      <c r="J112" s="15" t="s">
        <v>21</v>
      </c>
      <c r="K112" s="12" t="s">
        <v>22</v>
      </c>
      <c r="L112" s="13">
        <v>35</v>
      </c>
    </row>
    <row r="113" spans="1:12" s="10" customFormat="1" ht="27" x14ac:dyDescent="0.25">
      <c r="A113" s="11">
        <v>109</v>
      </c>
      <c r="B113" s="14" t="s">
        <v>57</v>
      </c>
      <c r="C113" s="15" t="s">
        <v>15</v>
      </c>
      <c r="D113" s="15" t="s">
        <v>327</v>
      </c>
      <c r="E113" s="15" t="s">
        <v>328</v>
      </c>
      <c r="F113" s="15" t="s">
        <v>329</v>
      </c>
      <c r="G113" s="15" t="s">
        <v>19</v>
      </c>
      <c r="H113" s="15" t="s">
        <v>20</v>
      </c>
      <c r="I113" s="15">
        <v>1</v>
      </c>
      <c r="J113" s="15" t="s">
        <v>21</v>
      </c>
      <c r="K113" s="12" t="s">
        <v>22</v>
      </c>
      <c r="L113" s="13">
        <v>35</v>
      </c>
    </row>
    <row r="114" spans="1:12" s="10" customFormat="1" ht="27" x14ac:dyDescent="0.25">
      <c r="A114" s="11">
        <v>110</v>
      </c>
      <c r="B114" s="14" t="s">
        <v>57</v>
      </c>
      <c r="C114" s="15" t="s">
        <v>15</v>
      </c>
      <c r="D114" s="15" t="s">
        <v>330</v>
      </c>
      <c r="E114" s="15" t="s">
        <v>331</v>
      </c>
      <c r="F114" s="15" t="s">
        <v>332</v>
      </c>
      <c r="G114" s="15" t="s">
        <v>19</v>
      </c>
      <c r="H114" s="15" t="s">
        <v>20</v>
      </c>
      <c r="I114" s="15">
        <v>1</v>
      </c>
      <c r="J114" s="15" t="s">
        <v>21</v>
      </c>
      <c r="K114" s="12" t="s">
        <v>22</v>
      </c>
      <c r="L114" s="13">
        <v>35</v>
      </c>
    </row>
    <row r="115" spans="1:12" s="10" customFormat="1" ht="27" x14ac:dyDescent="0.25">
      <c r="A115" s="11">
        <v>111</v>
      </c>
      <c r="B115" s="14" t="s">
        <v>57</v>
      </c>
      <c r="C115" s="15" t="s">
        <v>15</v>
      </c>
      <c r="D115" s="15" t="s">
        <v>333</v>
      </c>
      <c r="E115" s="15" t="s">
        <v>334</v>
      </c>
      <c r="F115" s="15" t="s">
        <v>335</v>
      </c>
      <c r="G115" s="15" t="s">
        <v>19</v>
      </c>
      <c r="H115" s="15" t="s">
        <v>20</v>
      </c>
      <c r="I115" s="15">
        <v>1</v>
      </c>
      <c r="J115" s="15" t="s">
        <v>21</v>
      </c>
      <c r="K115" s="12" t="s">
        <v>22</v>
      </c>
      <c r="L115" s="13">
        <v>35</v>
      </c>
    </row>
    <row r="116" spans="1:12" s="10" customFormat="1" ht="27" x14ac:dyDescent="0.25">
      <c r="A116" s="11">
        <v>112</v>
      </c>
      <c r="B116" s="14" t="s">
        <v>57</v>
      </c>
      <c r="C116" s="15" t="s">
        <v>15</v>
      </c>
      <c r="D116" s="15" t="s">
        <v>336</v>
      </c>
      <c r="E116" s="15" t="s">
        <v>337</v>
      </c>
      <c r="F116" s="15" t="s">
        <v>338</v>
      </c>
      <c r="G116" s="15" t="s">
        <v>19</v>
      </c>
      <c r="H116" s="15" t="s">
        <v>20</v>
      </c>
      <c r="I116" s="15">
        <v>1</v>
      </c>
      <c r="J116" s="15" t="s">
        <v>21</v>
      </c>
      <c r="K116" s="12" t="s">
        <v>22</v>
      </c>
      <c r="L116" s="13">
        <v>35</v>
      </c>
    </row>
    <row r="117" spans="1:12" s="10" customFormat="1" ht="27" x14ac:dyDescent="0.25">
      <c r="A117" s="11">
        <v>113</v>
      </c>
      <c r="B117" s="14" t="s">
        <v>57</v>
      </c>
      <c r="C117" s="15" t="s">
        <v>15</v>
      </c>
      <c r="D117" s="15" t="s">
        <v>339</v>
      </c>
      <c r="E117" s="15" t="s">
        <v>340</v>
      </c>
      <c r="F117" s="15" t="s">
        <v>341</v>
      </c>
      <c r="G117" s="15" t="s">
        <v>19</v>
      </c>
      <c r="H117" s="15" t="s">
        <v>20</v>
      </c>
      <c r="I117" s="15">
        <v>1</v>
      </c>
      <c r="J117" s="15" t="s">
        <v>21</v>
      </c>
      <c r="K117" s="12" t="s">
        <v>22</v>
      </c>
      <c r="L117" s="13">
        <v>35</v>
      </c>
    </row>
    <row r="118" spans="1:12" s="10" customFormat="1" ht="27" x14ac:dyDescent="0.25">
      <c r="A118" s="11">
        <v>114</v>
      </c>
      <c r="B118" s="14" t="s">
        <v>57</v>
      </c>
      <c r="C118" s="15" t="s">
        <v>15</v>
      </c>
      <c r="D118" s="15" t="s">
        <v>342</v>
      </c>
      <c r="E118" s="15" t="s">
        <v>343</v>
      </c>
      <c r="F118" s="15" t="s">
        <v>344</v>
      </c>
      <c r="G118" s="15" t="s">
        <v>19</v>
      </c>
      <c r="H118" s="15" t="s">
        <v>20</v>
      </c>
      <c r="I118" s="15">
        <v>1</v>
      </c>
      <c r="J118" s="15" t="s">
        <v>21</v>
      </c>
      <c r="K118" s="12" t="s">
        <v>22</v>
      </c>
      <c r="L118" s="13">
        <v>35</v>
      </c>
    </row>
    <row r="119" spans="1:12" s="10" customFormat="1" ht="27" x14ac:dyDescent="0.25">
      <c r="A119" s="11">
        <v>115</v>
      </c>
      <c r="B119" s="14" t="s">
        <v>57</v>
      </c>
      <c r="C119" s="15" t="s">
        <v>15</v>
      </c>
      <c r="D119" s="15" t="s">
        <v>345</v>
      </c>
      <c r="E119" s="15" t="s">
        <v>346</v>
      </c>
      <c r="F119" s="15" t="s">
        <v>347</v>
      </c>
      <c r="G119" s="15" t="s">
        <v>19</v>
      </c>
      <c r="H119" s="15" t="s">
        <v>20</v>
      </c>
      <c r="I119" s="15">
        <v>1</v>
      </c>
      <c r="J119" s="15" t="s">
        <v>21</v>
      </c>
      <c r="K119" s="12" t="s">
        <v>22</v>
      </c>
      <c r="L119" s="13">
        <v>35</v>
      </c>
    </row>
    <row r="120" spans="1:12" s="10" customFormat="1" ht="27" x14ac:dyDescent="0.25">
      <c r="A120" s="11">
        <v>116</v>
      </c>
      <c r="B120" s="14" t="s">
        <v>57</v>
      </c>
      <c r="C120" s="15" t="s">
        <v>15</v>
      </c>
      <c r="D120" s="15" t="s">
        <v>348</v>
      </c>
      <c r="E120" s="15" t="s">
        <v>349</v>
      </c>
      <c r="F120" s="15" t="s">
        <v>350</v>
      </c>
      <c r="G120" s="15" t="s">
        <v>19</v>
      </c>
      <c r="H120" s="15" t="s">
        <v>20</v>
      </c>
      <c r="I120" s="15">
        <v>1</v>
      </c>
      <c r="J120" s="15" t="s">
        <v>21</v>
      </c>
      <c r="K120" s="12" t="s">
        <v>22</v>
      </c>
      <c r="L120" s="13">
        <v>35</v>
      </c>
    </row>
    <row r="121" spans="1:12" s="10" customFormat="1" ht="27" x14ac:dyDescent="0.25">
      <c r="A121" s="11">
        <v>117</v>
      </c>
      <c r="B121" s="14" t="s">
        <v>57</v>
      </c>
      <c r="C121" s="15" t="s">
        <v>15</v>
      </c>
      <c r="D121" s="15" t="s">
        <v>351</v>
      </c>
      <c r="E121" s="15" t="s">
        <v>352</v>
      </c>
      <c r="F121" s="15" t="s">
        <v>353</v>
      </c>
      <c r="G121" s="15" t="s">
        <v>19</v>
      </c>
      <c r="H121" s="15" t="s">
        <v>20</v>
      </c>
      <c r="I121" s="15">
        <v>1</v>
      </c>
      <c r="J121" s="15" t="s">
        <v>21</v>
      </c>
      <c r="K121" s="12" t="s">
        <v>22</v>
      </c>
      <c r="L121" s="13">
        <v>35</v>
      </c>
    </row>
    <row r="122" spans="1:12" s="10" customFormat="1" ht="27" x14ac:dyDescent="0.25">
      <c r="A122" s="11">
        <v>118</v>
      </c>
      <c r="B122" s="14" t="s">
        <v>57</v>
      </c>
      <c r="C122" s="15" t="s">
        <v>15</v>
      </c>
      <c r="D122" s="15" t="s">
        <v>354</v>
      </c>
      <c r="E122" s="15" t="s">
        <v>355</v>
      </c>
      <c r="F122" s="15" t="s">
        <v>356</v>
      </c>
      <c r="G122" s="15" t="s">
        <v>19</v>
      </c>
      <c r="H122" s="15" t="s">
        <v>20</v>
      </c>
      <c r="I122" s="15">
        <v>1</v>
      </c>
      <c r="J122" s="15" t="s">
        <v>21</v>
      </c>
      <c r="K122" s="12" t="s">
        <v>22</v>
      </c>
      <c r="L122" s="13">
        <v>35</v>
      </c>
    </row>
    <row r="123" spans="1:12" s="10" customFormat="1" ht="27" x14ac:dyDescent="0.25">
      <c r="A123" s="11">
        <v>119</v>
      </c>
      <c r="B123" s="14" t="s">
        <v>57</v>
      </c>
      <c r="C123" s="15" t="s">
        <v>15</v>
      </c>
      <c r="D123" s="15" t="s">
        <v>357</v>
      </c>
      <c r="E123" s="15" t="s">
        <v>358</v>
      </c>
      <c r="F123" s="15" t="s">
        <v>359</v>
      </c>
      <c r="G123" s="15" t="s">
        <v>19</v>
      </c>
      <c r="H123" s="15" t="s">
        <v>20</v>
      </c>
      <c r="I123" s="15">
        <v>1</v>
      </c>
      <c r="J123" s="15" t="s">
        <v>21</v>
      </c>
      <c r="K123" s="12" t="s">
        <v>22</v>
      </c>
      <c r="L123" s="13">
        <v>35</v>
      </c>
    </row>
    <row r="124" spans="1:12" s="10" customFormat="1" ht="27" x14ac:dyDescent="0.25">
      <c r="A124" s="11">
        <v>120</v>
      </c>
      <c r="B124" s="14" t="s">
        <v>57</v>
      </c>
      <c r="C124" s="15" t="s">
        <v>15</v>
      </c>
      <c r="D124" s="15" t="s">
        <v>360</v>
      </c>
      <c r="E124" s="15" t="s">
        <v>361</v>
      </c>
      <c r="F124" s="15" t="s">
        <v>362</v>
      </c>
      <c r="G124" s="15" t="s">
        <v>19</v>
      </c>
      <c r="H124" s="15" t="s">
        <v>20</v>
      </c>
      <c r="I124" s="15">
        <v>1</v>
      </c>
      <c r="J124" s="15" t="s">
        <v>21</v>
      </c>
      <c r="K124" s="12" t="s">
        <v>22</v>
      </c>
      <c r="L124" s="13">
        <v>35</v>
      </c>
    </row>
    <row r="125" spans="1:12" s="10" customFormat="1" ht="27" x14ac:dyDescent="0.25">
      <c r="A125" s="11">
        <v>121</v>
      </c>
      <c r="B125" s="14" t="s">
        <v>57</v>
      </c>
      <c r="C125" s="15" t="s">
        <v>15</v>
      </c>
      <c r="D125" s="15" t="s">
        <v>363</v>
      </c>
      <c r="E125" s="15" t="s">
        <v>364</v>
      </c>
      <c r="F125" s="15" t="s">
        <v>365</v>
      </c>
      <c r="G125" s="15" t="s">
        <v>19</v>
      </c>
      <c r="H125" s="15" t="s">
        <v>20</v>
      </c>
      <c r="I125" s="15">
        <v>1</v>
      </c>
      <c r="J125" s="15" t="s">
        <v>21</v>
      </c>
      <c r="K125" s="12" t="s">
        <v>22</v>
      </c>
      <c r="L125" s="13">
        <v>35</v>
      </c>
    </row>
    <row r="126" spans="1:12" s="10" customFormat="1" ht="27" x14ac:dyDescent="0.25">
      <c r="A126" s="11">
        <v>122</v>
      </c>
      <c r="B126" s="14" t="s">
        <v>57</v>
      </c>
      <c r="C126" s="15" t="s">
        <v>15</v>
      </c>
      <c r="D126" s="15" t="s">
        <v>366</v>
      </c>
      <c r="E126" s="15" t="s">
        <v>367</v>
      </c>
      <c r="F126" s="15" t="s">
        <v>368</v>
      </c>
      <c r="G126" s="15" t="s">
        <v>19</v>
      </c>
      <c r="H126" s="15" t="s">
        <v>20</v>
      </c>
      <c r="I126" s="15">
        <v>1</v>
      </c>
      <c r="J126" s="15" t="s">
        <v>21</v>
      </c>
      <c r="K126" s="12" t="s">
        <v>22</v>
      </c>
      <c r="L126" s="13">
        <v>35</v>
      </c>
    </row>
    <row r="127" spans="1:12" s="10" customFormat="1" ht="18" x14ac:dyDescent="0.25">
      <c r="A127" s="11">
        <v>123</v>
      </c>
      <c r="B127" s="12" t="s">
        <v>369</v>
      </c>
      <c r="C127" s="12" t="str">
        <f>"145101"</f>
        <v>145101</v>
      </c>
      <c r="D127" s="12" t="str">
        <f>"14.145101/2024.00001/BC.O."</f>
        <v>14.145101/2024.00001/BC.O.</v>
      </c>
      <c r="E127" s="12" t="str">
        <f>"201000000076"</f>
        <v>201000000076</v>
      </c>
      <c r="F127" s="12" t="str">
        <f>"ENGARGOLADORA/DE ANILLOS"</f>
        <v>ENGARGOLADORA/DE ANILLOS</v>
      </c>
      <c r="G127" s="12" t="s">
        <v>19</v>
      </c>
      <c r="H127" s="12" t="s">
        <v>20</v>
      </c>
      <c r="I127" s="12">
        <v>1</v>
      </c>
      <c r="J127" s="12" t="s">
        <v>21</v>
      </c>
      <c r="K127" s="12" t="s">
        <v>22</v>
      </c>
      <c r="L127" s="13">
        <v>20</v>
      </c>
    </row>
    <row r="128" spans="1:12" s="10" customFormat="1" ht="18" x14ac:dyDescent="0.25">
      <c r="A128" s="11">
        <v>124</v>
      </c>
      <c r="B128" s="12" t="s">
        <v>369</v>
      </c>
      <c r="C128" s="12" t="str">
        <f>"145101"</f>
        <v>145101</v>
      </c>
      <c r="D128" s="12" t="str">
        <f>"14.145101/2024.00002/BC.O."</f>
        <v>14.145101/2024.00002/BC.O.</v>
      </c>
      <c r="E128" s="12" t="str">
        <f>"201000000077"</f>
        <v>201000000077</v>
      </c>
      <c r="F128" s="12" t="str">
        <f>"ENGARGOLADORA/DE ANILLOS"</f>
        <v>ENGARGOLADORA/DE ANILLOS</v>
      </c>
      <c r="G128" s="12" t="s">
        <v>19</v>
      </c>
      <c r="H128" s="12" t="s">
        <v>20</v>
      </c>
      <c r="I128" s="12">
        <v>1</v>
      </c>
      <c r="J128" s="12" t="s">
        <v>21</v>
      </c>
      <c r="K128" s="12" t="s">
        <v>22</v>
      </c>
      <c r="L128" s="13">
        <v>20</v>
      </c>
    </row>
    <row r="129" spans="1:12" s="10" customFormat="1" ht="18" x14ac:dyDescent="0.25">
      <c r="A129" s="11">
        <v>125</v>
      </c>
      <c r="B129" s="12" t="s">
        <v>370</v>
      </c>
      <c r="C129" s="12" t="str">
        <f t="shared" ref="C129:C138" si="0">"143302"</f>
        <v>143302</v>
      </c>
      <c r="D129" s="12" t="str">
        <f>"14.143302/2024.00452/BC.O."</f>
        <v>14.143302/2024.00452/BC.O.</v>
      </c>
      <c r="E129" s="12" t="str">
        <f>"0031437098"</f>
        <v>0031437098</v>
      </c>
      <c r="F129" s="12" t="str">
        <f>"LAMPARA/QUIRURGICA DE TECHO"</f>
        <v>LAMPARA/QUIRURGICA DE TECHO</v>
      </c>
      <c r="G129" s="12" t="s">
        <v>19</v>
      </c>
      <c r="H129" s="12" t="s">
        <v>20</v>
      </c>
      <c r="I129" s="12">
        <v>1</v>
      </c>
      <c r="J129" s="12" t="s">
        <v>21</v>
      </c>
      <c r="K129" s="12" t="s">
        <v>22</v>
      </c>
      <c r="L129" s="13">
        <v>250</v>
      </c>
    </row>
    <row r="130" spans="1:12" s="10" customFormat="1" ht="18" x14ac:dyDescent="0.25">
      <c r="A130" s="11">
        <v>126</v>
      </c>
      <c r="B130" s="12" t="s">
        <v>370</v>
      </c>
      <c r="C130" s="12" t="str">
        <f t="shared" si="0"/>
        <v>143302</v>
      </c>
      <c r="D130" s="12" t="str">
        <f>"14.143302/2024.00453/BC.O."</f>
        <v>14.143302/2024.00453/BC.O.</v>
      </c>
      <c r="E130" s="12" t="str">
        <f>"1989051761"</f>
        <v>1989051761</v>
      </c>
      <c r="F130" s="12" t="str">
        <f>"ELECTROCARDIOGRAFO/DE INSCRIPCION DIRECTA"</f>
        <v>ELECTROCARDIOGRAFO/DE INSCRIPCION DIRECTA</v>
      </c>
      <c r="G130" s="12" t="s">
        <v>19</v>
      </c>
      <c r="H130" s="12" t="s">
        <v>20</v>
      </c>
      <c r="I130" s="12">
        <v>1</v>
      </c>
      <c r="J130" s="12" t="s">
        <v>21</v>
      </c>
      <c r="K130" s="12" t="s">
        <v>22</v>
      </c>
      <c r="L130" s="13">
        <v>250</v>
      </c>
    </row>
    <row r="131" spans="1:12" s="10" customFormat="1" ht="18" x14ac:dyDescent="0.25">
      <c r="A131" s="11">
        <v>127</v>
      </c>
      <c r="B131" s="12" t="s">
        <v>370</v>
      </c>
      <c r="C131" s="12" t="str">
        <f t="shared" si="0"/>
        <v>143302</v>
      </c>
      <c r="D131" s="12" t="str">
        <f>"14.143302/2024.00454/BC.O."</f>
        <v>14.143302/2024.00454/BC.O.</v>
      </c>
      <c r="E131" s="12" t="str">
        <f>"1993400457Y"</f>
        <v>1993400457Y</v>
      </c>
      <c r="F131" s="12" t="str">
        <f>"EQUIPO PARA ELECTROFORESIS/ELECTRICO"</f>
        <v>EQUIPO PARA ELECTROFORESIS/ELECTRICO</v>
      </c>
      <c r="G131" s="12" t="s">
        <v>19</v>
      </c>
      <c r="H131" s="12" t="s">
        <v>20</v>
      </c>
      <c r="I131" s="12">
        <v>1</v>
      </c>
      <c r="J131" s="12" t="s">
        <v>21</v>
      </c>
      <c r="K131" s="12" t="s">
        <v>22</v>
      </c>
      <c r="L131" s="13">
        <v>200</v>
      </c>
    </row>
    <row r="132" spans="1:12" s="10" customFormat="1" ht="18" x14ac:dyDescent="0.25">
      <c r="A132" s="11">
        <v>128</v>
      </c>
      <c r="B132" s="12" t="s">
        <v>370</v>
      </c>
      <c r="C132" s="12" t="str">
        <f t="shared" si="0"/>
        <v>143302</v>
      </c>
      <c r="D132" s="12" t="str">
        <f>"14.143302/2024.00455/BC.O."</f>
        <v>14.143302/2024.00455/BC.O.</v>
      </c>
      <c r="E132" s="12" t="str">
        <f>"1995400417Y"</f>
        <v>1995400417Y</v>
      </c>
      <c r="F132" s="12" t="str">
        <f>"UNIDAD/PARA LABORATORIO"</f>
        <v>UNIDAD/PARA LABORATORIO</v>
      </c>
      <c r="G132" s="12" t="s">
        <v>19</v>
      </c>
      <c r="H132" s="12" t="s">
        <v>20</v>
      </c>
      <c r="I132" s="12">
        <v>1</v>
      </c>
      <c r="J132" s="12" t="s">
        <v>21</v>
      </c>
      <c r="K132" s="12" t="s">
        <v>22</v>
      </c>
      <c r="L132" s="13">
        <v>50</v>
      </c>
    </row>
    <row r="133" spans="1:12" s="10" customFormat="1" ht="18" x14ac:dyDescent="0.25">
      <c r="A133" s="11">
        <v>129</v>
      </c>
      <c r="B133" s="12" t="s">
        <v>370</v>
      </c>
      <c r="C133" s="12" t="str">
        <f t="shared" si="0"/>
        <v>143302</v>
      </c>
      <c r="D133" s="12" t="str">
        <f>"14.143302/2024.00456/BC.O."</f>
        <v>14.143302/2024.00456/BC.O.</v>
      </c>
      <c r="E133" s="12" t="str">
        <f>"2001900039Y"</f>
        <v>2001900039Y</v>
      </c>
      <c r="F133" s="12" t="str">
        <f>"PURIFICADOR/DE AGUA"</f>
        <v>PURIFICADOR/DE AGUA</v>
      </c>
      <c r="G133" s="12" t="s">
        <v>19</v>
      </c>
      <c r="H133" s="12" t="s">
        <v>20</v>
      </c>
      <c r="I133" s="12">
        <v>1</v>
      </c>
      <c r="J133" s="12" t="s">
        <v>21</v>
      </c>
      <c r="K133" s="12" t="s">
        <v>22</v>
      </c>
      <c r="L133" s="13">
        <v>35</v>
      </c>
    </row>
    <row r="134" spans="1:12" s="10" customFormat="1" ht="18" x14ac:dyDescent="0.25">
      <c r="A134" s="11">
        <v>130</v>
      </c>
      <c r="B134" s="12" t="s">
        <v>370</v>
      </c>
      <c r="C134" s="12" t="str">
        <f t="shared" si="0"/>
        <v>143302</v>
      </c>
      <c r="D134" s="12" t="str">
        <f>"14.143302/2024.00457/BC.O."</f>
        <v>14.143302/2024.00457/BC.O.</v>
      </c>
      <c r="E134" s="12" t="str">
        <f>"2001900060Y"</f>
        <v>2001900060Y</v>
      </c>
      <c r="F134" s="12" t="str">
        <f>"REGULADOR/PARA EQUIPO DE LABORATORIO"</f>
        <v>REGULADOR/PARA EQUIPO DE LABORATORIO</v>
      </c>
      <c r="G134" s="12" t="s">
        <v>19</v>
      </c>
      <c r="H134" s="12" t="s">
        <v>20</v>
      </c>
      <c r="I134" s="12">
        <v>1</v>
      </c>
      <c r="J134" s="12" t="s">
        <v>21</v>
      </c>
      <c r="K134" s="12" t="s">
        <v>22</v>
      </c>
      <c r="L134" s="13">
        <v>30</v>
      </c>
    </row>
    <row r="135" spans="1:12" s="10" customFormat="1" ht="18" x14ac:dyDescent="0.25">
      <c r="A135" s="11">
        <v>131</v>
      </c>
      <c r="B135" s="12" t="s">
        <v>370</v>
      </c>
      <c r="C135" s="12" t="str">
        <f t="shared" si="0"/>
        <v>143302</v>
      </c>
      <c r="D135" s="12" t="str">
        <f>"14.143302/2024.00458/BC.O."</f>
        <v>14.143302/2024.00458/BC.O.</v>
      </c>
      <c r="E135" s="12" t="str">
        <f>"2002901882Y"</f>
        <v>2002901882Y</v>
      </c>
      <c r="F135" s="12" t="str">
        <f>"TERMO/CICLADOR"</f>
        <v>TERMO/CICLADOR</v>
      </c>
      <c r="G135" s="12" t="s">
        <v>19</v>
      </c>
      <c r="H135" s="12" t="s">
        <v>20</v>
      </c>
      <c r="I135" s="12">
        <v>1</v>
      </c>
      <c r="J135" s="12" t="s">
        <v>21</v>
      </c>
      <c r="K135" s="12" t="s">
        <v>22</v>
      </c>
      <c r="L135" s="13">
        <v>25</v>
      </c>
    </row>
    <row r="136" spans="1:12" s="10" customFormat="1" ht="18" x14ac:dyDescent="0.25">
      <c r="A136" s="11">
        <v>132</v>
      </c>
      <c r="B136" s="12" t="s">
        <v>370</v>
      </c>
      <c r="C136" s="12" t="str">
        <f t="shared" si="0"/>
        <v>143302</v>
      </c>
      <c r="D136" s="12" t="str">
        <f>"14.143302/2024.00459/BC.O."</f>
        <v>14.143302/2024.00459/BC.O.</v>
      </c>
      <c r="E136" s="12" t="str">
        <f>"200780000425"</f>
        <v>200780000425</v>
      </c>
      <c r="F136" s="12" t="str">
        <f>"CENTRIFUGA/DE MESA"</f>
        <v>CENTRIFUGA/DE MESA</v>
      </c>
      <c r="G136" s="12" t="s">
        <v>19</v>
      </c>
      <c r="H136" s="12" t="s">
        <v>20</v>
      </c>
      <c r="I136" s="12">
        <v>1</v>
      </c>
      <c r="J136" s="12" t="s">
        <v>21</v>
      </c>
      <c r="K136" s="12" t="s">
        <v>22</v>
      </c>
      <c r="L136" s="13">
        <v>2500</v>
      </c>
    </row>
    <row r="137" spans="1:12" s="10" customFormat="1" ht="18" x14ac:dyDescent="0.25">
      <c r="A137" s="11">
        <v>133</v>
      </c>
      <c r="B137" s="12" t="s">
        <v>370</v>
      </c>
      <c r="C137" s="12" t="str">
        <f t="shared" si="0"/>
        <v>143302</v>
      </c>
      <c r="D137" s="12" t="str">
        <f>"14.143302/2024.00460/BC.O."</f>
        <v>14.143302/2024.00460/BC.O.</v>
      </c>
      <c r="E137" s="12" t="str">
        <f>"200980015618"</f>
        <v>200980015618</v>
      </c>
      <c r="F137" s="12" t="str">
        <f>"CENTRIFUGA/DE MESA"</f>
        <v>CENTRIFUGA/DE MESA</v>
      </c>
      <c r="G137" s="12" t="s">
        <v>19</v>
      </c>
      <c r="H137" s="12" t="s">
        <v>20</v>
      </c>
      <c r="I137" s="12">
        <v>1</v>
      </c>
      <c r="J137" s="12" t="s">
        <v>21</v>
      </c>
      <c r="K137" s="12" t="s">
        <v>22</v>
      </c>
      <c r="L137" s="13">
        <v>50</v>
      </c>
    </row>
    <row r="138" spans="1:12" s="10" customFormat="1" ht="18" x14ac:dyDescent="0.25">
      <c r="A138" s="11">
        <v>134</v>
      </c>
      <c r="B138" s="12" t="s">
        <v>370</v>
      </c>
      <c r="C138" s="12" t="str">
        <f t="shared" si="0"/>
        <v>143302</v>
      </c>
      <c r="D138" s="12" t="str">
        <f>"14.143302/2024.00461/BC.O."</f>
        <v>14.143302/2024.00461/BC.O.</v>
      </c>
      <c r="E138" s="12" t="str">
        <f>"200980015664"</f>
        <v>200980015664</v>
      </c>
      <c r="F138" s="12" t="str">
        <f>"REFRIGERADOR/PARA LABORATORIO"</f>
        <v>REFRIGERADOR/PARA LABORATORIO</v>
      </c>
      <c r="G138" s="12" t="s">
        <v>19</v>
      </c>
      <c r="H138" s="12" t="s">
        <v>20</v>
      </c>
      <c r="I138" s="12">
        <v>1</v>
      </c>
      <c r="J138" s="12" t="s">
        <v>21</v>
      </c>
      <c r="K138" s="12" t="s">
        <v>22</v>
      </c>
      <c r="L138" s="13">
        <v>100</v>
      </c>
    </row>
    <row r="139" spans="1:12" s="10" customFormat="1" ht="18" x14ac:dyDescent="0.25">
      <c r="A139" s="11">
        <v>135</v>
      </c>
      <c r="B139" s="12" t="s">
        <v>371</v>
      </c>
      <c r="C139" s="12" t="str">
        <f>"149101"</f>
        <v>149101</v>
      </c>
      <c r="D139" s="12" t="str">
        <f>"14.149101/2024.00274/BC.O."</f>
        <v>14.149101/2024.00274/BC.O.</v>
      </c>
      <c r="E139" s="12" t="str">
        <f>"1991229794"</f>
        <v>1991229794</v>
      </c>
      <c r="F139" s="12" t="str">
        <f>"EXTINGIDOR,EXTINTOR/A BASE DE POLVO QUIMICO"</f>
        <v>EXTINGIDOR,EXTINTOR/A BASE DE POLVO QUIMICO</v>
      </c>
      <c r="G139" s="12" t="s">
        <v>19</v>
      </c>
      <c r="H139" s="12" t="s">
        <v>20</v>
      </c>
      <c r="I139" s="16">
        <v>1</v>
      </c>
      <c r="J139" s="12" t="s">
        <v>21</v>
      </c>
      <c r="K139" s="12" t="s">
        <v>22</v>
      </c>
      <c r="L139" s="13">
        <v>10</v>
      </c>
    </row>
    <row r="140" spans="1:12" s="10" customFormat="1" ht="18" x14ac:dyDescent="0.25">
      <c r="A140" s="11">
        <v>136</v>
      </c>
      <c r="B140" s="12" t="s">
        <v>371</v>
      </c>
      <c r="C140" s="12" t="str">
        <f>"149101"</f>
        <v>149101</v>
      </c>
      <c r="D140" s="12" t="str">
        <f>"14.149101/2024.00275/BC.O."</f>
        <v>14.149101/2024.00275/BC.O.</v>
      </c>
      <c r="E140" s="12" t="str">
        <f>"1991229795"</f>
        <v>1991229795</v>
      </c>
      <c r="F140" s="12" t="str">
        <f>"EXTINGIDOR,EXTINTOR/A BASE DE POLVO QUIMICO"</f>
        <v>EXTINGIDOR,EXTINTOR/A BASE DE POLVO QUIMICO</v>
      </c>
      <c r="G140" s="12" t="s">
        <v>19</v>
      </c>
      <c r="H140" s="12" t="s">
        <v>20</v>
      </c>
      <c r="I140" s="16">
        <v>1</v>
      </c>
      <c r="J140" s="12" t="s">
        <v>21</v>
      </c>
      <c r="K140" s="12" t="s">
        <v>22</v>
      </c>
      <c r="L140" s="13">
        <v>10</v>
      </c>
    </row>
    <row r="141" spans="1:12" s="10" customFormat="1" ht="18" x14ac:dyDescent="0.25">
      <c r="A141" s="11">
        <v>137</v>
      </c>
      <c r="B141" s="17" t="s">
        <v>372</v>
      </c>
      <c r="C141" s="17">
        <v>149106</v>
      </c>
      <c r="D141" s="17" t="s">
        <v>373</v>
      </c>
      <c r="E141" s="18">
        <v>201080075638</v>
      </c>
      <c r="F141" s="17" t="s">
        <v>374</v>
      </c>
      <c r="G141" s="17" t="s">
        <v>19</v>
      </c>
      <c r="H141" s="17" t="s">
        <v>20</v>
      </c>
      <c r="I141" s="17">
        <v>1</v>
      </c>
      <c r="J141" s="17" t="s">
        <v>21</v>
      </c>
      <c r="K141" s="12" t="s">
        <v>22</v>
      </c>
      <c r="L141" s="13">
        <v>35</v>
      </c>
    </row>
    <row r="142" spans="1:12" s="10" customFormat="1" ht="18" x14ac:dyDescent="0.25">
      <c r="A142" s="11">
        <v>138</v>
      </c>
      <c r="B142" s="17" t="s">
        <v>372</v>
      </c>
      <c r="C142" s="17">
        <v>149106</v>
      </c>
      <c r="D142" s="17" t="s">
        <v>375</v>
      </c>
      <c r="E142" s="18">
        <v>201080075655</v>
      </c>
      <c r="F142" s="17" t="s">
        <v>374</v>
      </c>
      <c r="G142" s="17" t="s">
        <v>19</v>
      </c>
      <c r="H142" s="17" t="s">
        <v>20</v>
      </c>
      <c r="I142" s="17">
        <v>1</v>
      </c>
      <c r="J142" s="17" t="s">
        <v>21</v>
      </c>
      <c r="K142" s="12" t="s">
        <v>22</v>
      </c>
      <c r="L142" s="13">
        <v>35</v>
      </c>
    </row>
    <row r="143" spans="1:12" s="10" customFormat="1" ht="18" x14ac:dyDescent="0.25">
      <c r="A143" s="11">
        <v>139</v>
      </c>
      <c r="B143" s="17" t="s">
        <v>372</v>
      </c>
      <c r="C143" s="17">
        <v>149106</v>
      </c>
      <c r="D143" s="17" t="s">
        <v>376</v>
      </c>
      <c r="E143" s="18">
        <v>201080075663</v>
      </c>
      <c r="F143" s="17" t="s">
        <v>374</v>
      </c>
      <c r="G143" s="17" t="s">
        <v>19</v>
      </c>
      <c r="H143" s="17" t="s">
        <v>20</v>
      </c>
      <c r="I143" s="17">
        <v>1</v>
      </c>
      <c r="J143" s="17" t="s">
        <v>21</v>
      </c>
      <c r="K143" s="12" t="s">
        <v>22</v>
      </c>
      <c r="L143" s="13">
        <v>35</v>
      </c>
    </row>
    <row r="144" spans="1:12" s="10" customFormat="1" ht="18" x14ac:dyDescent="0.25">
      <c r="A144" s="11">
        <v>140</v>
      </c>
      <c r="B144" s="17" t="s">
        <v>372</v>
      </c>
      <c r="C144" s="17">
        <v>149106</v>
      </c>
      <c r="D144" s="17" t="s">
        <v>377</v>
      </c>
      <c r="E144" s="18">
        <v>201080075689</v>
      </c>
      <c r="F144" s="17" t="s">
        <v>374</v>
      </c>
      <c r="G144" s="17" t="s">
        <v>19</v>
      </c>
      <c r="H144" s="17" t="s">
        <v>20</v>
      </c>
      <c r="I144" s="17">
        <v>1</v>
      </c>
      <c r="J144" s="17" t="s">
        <v>21</v>
      </c>
      <c r="K144" s="12" t="s">
        <v>22</v>
      </c>
      <c r="L144" s="13">
        <v>35</v>
      </c>
    </row>
    <row r="145" spans="1:12" s="10" customFormat="1" ht="18" x14ac:dyDescent="0.25">
      <c r="A145" s="11">
        <v>141</v>
      </c>
      <c r="B145" s="17" t="s">
        <v>372</v>
      </c>
      <c r="C145" s="17">
        <v>149106</v>
      </c>
      <c r="D145" s="17" t="s">
        <v>378</v>
      </c>
      <c r="E145" s="18">
        <v>201080075703</v>
      </c>
      <c r="F145" s="17" t="s">
        <v>374</v>
      </c>
      <c r="G145" s="17" t="s">
        <v>19</v>
      </c>
      <c r="H145" s="17" t="s">
        <v>20</v>
      </c>
      <c r="I145" s="17">
        <v>1</v>
      </c>
      <c r="J145" s="17" t="s">
        <v>21</v>
      </c>
      <c r="K145" s="12" t="s">
        <v>22</v>
      </c>
      <c r="L145" s="13">
        <v>35</v>
      </c>
    </row>
    <row r="146" spans="1:12" s="10" customFormat="1" ht="18" x14ac:dyDescent="0.25">
      <c r="A146" s="11">
        <v>142</v>
      </c>
      <c r="B146" s="17" t="s">
        <v>372</v>
      </c>
      <c r="C146" s="17">
        <v>149106</v>
      </c>
      <c r="D146" s="17" t="s">
        <v>379</v>
      </c>
      <c r="E146" s="18">
        <v>201080075704</v>
      </c>
      <c r="F146" s="17" t="s">
        <v>374</v>
      </c>
      <c r="G146" s="17" t="s">
        <v>19</v>
      </c>
      <c r="H146" s="17" t="s">
        <v>20</v>
      </c>
      <c r="I146" s="17">
        <v>1</v>
      </c>
      <c r="J146" s="17" t="s">
        <v>21</v>
      </c>
      <c r="K146" s="12" t="s">
        <v>22</v>
      </c>
      <c r="L146" s="13">
        <v>35</v>
      </c>
    </row>
    <row r="147" spans="1:12" s="10" customFormat="1" ht="18" x14ac:dyDescent="0.25">
      <c r="A147" s="11">
        <v>143</v>
      </c>
      <c r="B147" s="17" t="s">
        <v>372</v>
      </c>
      <c r="C147" s="17">
        <v>149106</v>
      </c>
      <c r="D147" s="17" t="s">
        <v>380</v>
      </c>
      <c r="E147" s="18">
        <v>201080075821</v>
      </c>
      <c r="F147" s="17" t="s">
        <v>374</v>
      </c>
      <c r="G147" s="17" t="s">
        <v>19</v>
      </c>
      <c r="H147" s="17" t="s">
        <v>20</v>
      </c>
      <c r="I147" s="17">
        <v>1</v>
      </c>
      <c r="J147" s="17" t="s">
        <v>21</v>
      </c>
      <c r="K147" s="12" t="s">
        <v>22</v>
      </c>
      <c r="L147" s="13">
        <v>35</v>
      </c>
    </row>
    <row r="148" spans="1:12" s="10" customFormat="1" ht="18" x14ac:dyDescent="0.25">
      <c r="A148" s="11">
        <v>144</v>
      </c>
      <c r="B148" s="17" t="s">
        <v>372</v>
      </c>
      <c r="C148" s="17">
        <v>149106</v>
      </c>
      <c r="D148" s="17" t="s">
        <v>381</v>
      </c>
      <c r="E148" s="18">
        <v>201080075838</v>
      </c>
      <c r="F148" s="17" t="s">
        <v>374</v>
      </c>
      <c r="G148" s="17" t="s">
        <v>19</v>
      </c>
      <c r="H148" s="17" t="s">
        <v>20</v>
      </c>
      <c r="I148" s="17">
        <v>1</v>
      </c>
      <c r="J148" s="17" t="s">
        <v>21</v>
      </c>
      <c r="K148" s="12" t="s">
        <v>22</v>
      </c>
      <c r="L148" s="13">
        <v>35</v>
      </c>
    </row>
    <row r="149" spans="1:12" s="10" customFormat="1" ht="18" x14ac:dyDescent="0.25">
      <c r="A149" s="11">
        <v>145</v>
      </c>
      <c r="B149" s="17" t="s">
        <v>372</v>
      </c>
      <c r="C149" s="17">
        <v>149106</v>
      </c>
      <c r="D149" s="17" t="s">
        <v>382</v>
      </c>
      <c r="E149" s="18">
        <v>201080075875</v>
      </c>
      <c r="F149" s="17" t="s">
        <v>374</v>
      </c>
      <c r="G149" s="17" t="s">
        <v>19</v>
      </c>
      <c r="H149" s="17" t="s">
        <v>20</v>
      </c>
      <c r="I149" s="17">
        <v>1</v>
      </c>
      <c r="J149" s="17" t="s">
        <v>21</v>
      </c>
      <c r="K149" s="12" t="s">
        <v>22</v>
      </c>
      <c r="L149" s="13">
        <v>35</v>
      </c>
    </row>
    <row r="150" spans="1:12" s="10" customFormat="1" ht="18" x14ac:dyDescent="0.25">
      <c r="A150" s="11">
        <v>146</v>
      </c>
      <c r="B150" s="17" t="s">
        <v>372</v>
      </c>
      <c r="C150" s="17">
        <v>149106</v>
      </c>
      <c r="D150" s="17" t="s">
        <v>383</v>
      </c>
      <c r="E150" s="18">
        <v>201080075883</v>
      </c>
      <c r="F150" s="17" t="s">
        <v>374</v>
      </c>
      <c r="G150" s="17" t="s">
        <v>19</v>
      </c>
      <c r="H150" s="17" t="s">
        <v>20</v>
      </c>
      <c r="I150" s="17">
        <v>1</v>
      </c>
      <c r="J150" s="17" t="s">
        <v>21</v>
      </c>
      <c r="K150" s="12" t="s">
        <v>22</v>
      </c>
      <c r="L150" s="13">
        <v>35</v>
      </c>
    </row>
    <row r="151" spans="1:12" s="10" customFormat="1" ht="18" x14ac:dyDescent="0.25">
      <c r="A151" s="11">
        <v>147</v>
      </c>
      <c r="B151" s="17" t="s">
        <v>372</v>
      </c>
      <c r="C151" s="17">
        <v>149106</v>
      </c>
      <c r="D151" s="17" t="s">
        <v>384</v>
      </c>
      <c r="E151" s="18">
        <v>201080075884</v>
      </c>
      <c r="F151" s="17" t="s">
        <v>374</v>
      </c>
      <c r="G151" s="17" t="s">
        <v>19</v>
      </c>
      <c r="H151" s="17" t="s">
        <v>20</v>
      </c>
      <c r="I151" s="17">
        <v>1</v>
      </c>
      <c r="J151" s="17" t="s">
        <v>21</v>
      </c>
      <c r="K151" s="12" t="s">
        <v>22</v>
      </c>
      <c r="L151" s="13">
        <v>35</v>
      </c>
    </row>
    <row r="152" spans="1:12" s="10" customFormat="1" ht="18" x14ac:dyDescent="0.25">
      <c r="A152" s="11">
        <v>148</v>
      </c>
      <c r="B152" s="17" t="s">
        <v>372</v>
      </c>
      <c r="C152" s="17">
        <v>149106</v>
      </c>
      <c r="D152" s="17" t="s">
        <v>385</v>
      </c>
      <c r="E152" s="18">
        <v>201080075889</v>
      </c>
      <c r="F152" s="17" t="s">
        <v>374</v>
      </c>
      <c r="G152" s="17" t="s">
        <v>19</v>
      </c>
      <c r="H152" s="17" t="s">
        <v>20</v>
      </c>
      <c r="I152" s="17">
        <v>1</v>
      </c>
      <c r="J152" s="17" t="s">
        <v>21</v>
      </c>
      <c r="K152" s="12" t="s">
        <v>22</v>
      </c>
      <c r="L152" s="13">
        <v>35</v>
      </c>
    </row>
    <row r="153" spans="1:12" s="10" customFormat="1" ht="18" x14ac:dyDescent="0.25">
      <c r="A153" s="11">
        <v>149</v>
      </c>
      <c r="B153" s="17" t="s">
        <v>372</v>
      </c>
      <c r="C153" s="17">
        <v>149106</v>
      </c>
      <c r="D153" s="17" t="s">
        <v>386</v>
      </c>
      <c r="E153" s="18">
        <v>201080075890</v>
      </c>
      <c r="F153" s="17" t="s">
        <v>374</v>
      </c>
      <c r="G153" s="17" t="s">
        <v>19</v>
      </c>
      <c r="H153" s="17" t="s">
        <v>20</v>
      </c>
      <c r="I153" s="17">
        <v>1</v>
      </c>
      <c r="J153" s="17" t="s">
        <v>21</v>
      </c>
      <c r="K153" s="12" t="s">
        <v>22</v>
      </c>
      <c r="L153" s="13">
        <v>35</v>
      </c>
    </row>
    <row r="154" spans="1:12" s="10" customFormat="1" ht="18" x14ac:dyDescent="0.25">
      <c r="A154" s="11">
        <v>150</v>
      </c>
      <c r="B154" s="17" t="s">
        <v>372</v>
      </c>
      <c r="C154" s="17">
        <v>149106</v>
      </c>
      <c r="D154" s="17" t="s">
        <v>387</v>
      </c>
      <c r="E154" s="18">
        <v>201080075925</v>
      </c>
      <c r="F154" s="17" t="s">
        <v>374</v>
      </c>
      <c r="G154" s="17" t="s">
        <v>19</v>
      </c>
      <c r="H154" s="17" t="s">
        <v>20</v>
      </c>
      <c r="I154" s="17">
        <v>1</v>
      </c>
      <c r="J154" s="17" t="s">
        <v>21</v>
      </c>
      <c r="K154" s="12" t="s">
        <v>22</v>
      </c>
      <c r="L154" s="13">
        <v>35</v>
      </c>
    </row>
    <row r="155" spans="1:12" s="10" customFormat="1" ht="18" x14ac:dyDescent="0.25">
      <c r="A155" s="11">
        <v>151</v>
      </c>
      <c r="B155" s="17" t="s">
        <v>372</v>
      </c>
      <c r="C155" s="17">
        <v>149106</v>
      </c>
      <c r="D155" s="17" t="s">
        <v>388</v>
      </c>
      <c r="E155" s="18">
        <v>201080075941</v>
      </c>
      <c r="F155" s="17" t="s">
        <v>374</v>
      </c>
      <c r="G155" s="17" t="s">
        <v>19</v>
      </c>
      <c r="H155" s="17" t="s">
        <v>20</v>
      </c>
      <c r="I155" s="17">
        <v>1</v>
      </c>
      <c r="J155" s="17" t="s">
        <v>21</v>
      </c>
      <c r="K155" s="12" t="s">
        <v>22</v>
      </c>
      <c r="L155" s="13">
        <v>35</v>
      </c>
    </row>
    <row r="156" spans="1:12" s="10" customFormat="1" ht="18" x14ac:dyDescent="0.25">
      <c r="A156" s="11">
        <v>152</v>
      </c>
      <c r="B156" s="17" t="s">
        <v>372</v>
      </c>
      <c r="C156" s="17">
        <v>149106</v>
      </c>
      <c r="D156" s="17" t="s">
        <v>389</v>
      </c>
      <c r="E156" s="18">
        <v>201080075952</v>
      </c>
      <c r="F156" s="17" t="s">
        <v>374</v>
      </c>
      <c r="G156" s="17" t="s">
        <v>19</v>
      </c>
      <c r="H156" s="17" t="s">
        <v>20</v>
      </c>
      <c r="I156" s="17">
        <v>1</v>
      </c>
      <c r="J156" s="17" t="s">
        <v>21</v>
      </c>
      <c r="K156" s="12" t="s">
        <v>22</v>
      </c>
      <c r="L156" s="13">
        <v>35</v>
      </c>
    </row>
    <row r="157" spans="1:12" s="10" customFormat="1" ht="18" x14ac:dyDescent="0.25">
      <c r="A157" s="11">
        <v>153</v>
      </c>
      <c r="B157" s="17" t="s">
        <v>372</v>
      </c>
      <c r="C157" s="17">
        <v>149106</v>
      </c>
      <c r="D157" s="17" t="s">
        <v>390</v>
      </c>
      <c r="E157" s="18">
        <v>201080075997</v>
      </c>
      <c r="F157" s="17" t="s">
        <v>374</v>
      </c>
      <c r="G157" s="17" t="s">
        <v>19</v>
      </c>
      <c r="H157" s="17" t="s">
        <v>20</v>
      </c>
      <c r="I157" s="17">
        <v>1</v>
      </c>
      <c r="J157" s="17" t="s">
        <v>21</v>
      </c>
      <c r="K157" s="12" t="s">
        <v>22</v>
      </c>
      <c r="L157" s="13">
        <v>35</v>
      </c>
    </row>
    <row r="158" spans="1:12" s="10" customFormat="1" ht="18" x14ac:dyDescent="0.25">
      <c r="A158" s="11">
        <v>154</v>
      </c>
      <c r="B158" s="17" t="s">
        <v>372</v>
      </c>
      <c r="C158" s="17">
        <v>149106</v>
      </c>
      <c r="D158" s="17" t="s">
        <v>391</v>
      </c>
      <c r="E158" s="18">
        <v>201080075998</v>
      </c>
      <c r="F158" s="17" t="s">
        <v>374</v>
      </c>
      <c r="G158" s="17" t="s">
        <v>19</v>
      </c>
      <c r="H158" s="17" t="s">
        <v>20</v>
      </c>
      <c r="I158" s="17">
        <v>1</v>
      </c>
      <c r="J158" s="17" t="s">
        <v>21</v>
      </c>
      <c r="K158" s="12" t="s">
        <v>22</v>
      </c>
      <c r="L158" s="13">
        <v>35</v>
      </c>
    </row>
    <row r="159" spans="1:12" s="10" customFormat="1" ht="18" x14ac:dyDescent="0.25">
      <c r="A159" s="11">
        <v>155</v>
      </c>
      <c r="B159" s="17" t="s">
        <v>372</v>
      </c>
      <c r="C159" s="17">
        <v>149106</v>
      </c>
      <c r="D159" s="17" t="s">
        <v>392</v>
      </c>
      <c r="E159" s="18">
        <v>201080076007</v>
      </c>
      <c r="F159" s="17" t="s">
        <v>374</v>
      </c>
      <c r="G159" s="17" t="s">
        <v>19</v>
      </c>
      <c r="H159" s="17" t="s">
        <v>20</v>
      </c>
      <c r="I159" s="17">
        <v>1</v>
      </c>
      <c r="J159" s="17" t="s">
        <v>21</v>
      </c>
      <c r="K159" s="12" t="s">
        <v>22</v>
      </c>
      <c r="L159" s="13">
        <v>35</v>
      </c>
    </row>
    <row r="160" spans="1:12" s="10" customFormat="1" ht="18" x14ac:dyDescent="0.25">
      <c r="A160" s="11">
        <v>156</v>
      </c>
      <c r="B160" s="17" t="s">
        <v>372</v>
      </c>
      <c r="C160" s="17">
        <v>149106</v>
      </c>
      <c r="D160" s="17" t="s">
        <v>393</v>
      </c>
      <c r="E160" s="18">
        <v>201180036524</v>
      </c>
      <c r="F160" s="17" t="s">
        <v>374</v>
      </c>
      <c r="G160" s="17" t="s">
        <v>19</v>
      </c>
      <c r="H160" s="17" t="s">
        <v>20</v>
      </c>
      <c r="I160" s="17">
        <v>1</v>
      </c>
      <c r="J160" s="17" t="s">
        <v>21</v>
      </c>
      <c r="K160" s="12" t="s">
        <v>22</v>
      </c>
      <c r="L160" s="13">
        <v>35</v>
      </c>
    </row>
    <row r="161" spans="1:12" s="10" customFormat="1" ht="18" x14ac:dyDescent="0.25">
      <c r="A161" s="11">
        <v>157</v>
      </c>
      <c r="B161" s="17" t="s">
        <v>372</v>
      </c>
      <c r="C161" s="17">
        <v>149106</v>
      </c>
      <c r="D161" s="17" t="s">
        <v>394</v>
      </c>
      <c r="E161" s="18">
        <v>201180036531</v>
      </c>
      <c r="F161" s="17" t="s">
        <v>374</v>
      </c>
      <c r="G161" s="17" t="s">
        <v>19</v>
      </c>
      <c r="H161" s="17" t="s">
        <v>20</v>
      </c>
      <c r="I161" s="17">
        <v>1</v>
      </c>
      <c r="J161" s="17" t="s">
        <v>21</v>
      </c>
      <c r="K161" s="12" t="s">
        <v>22</v>
      </c>
      <c r="L161" s="13">
        <v>35</v>
      </c>
    </row>
    <row r="162" spans="1:12" s="10" customFormat="1" ht="18" x14ac:dyDescent="0.25">
      <c r="A162" s="11">
        <v>158</v>
      </c>
      <c r="B162" s="17" t="s">
        <v>372</v>
      </c>
      <c r="C162" s="17">
        <v>149106</v>
      </c>
      <c r="D162" s="17" t="s">
        <v>395</v>
      </c>
      <c r="E162" s="18">
        <v>201680063485</v>
      </c>
      <c r="F162" s="17" t="s">
        <v>396</v>
      </c>
      <c r="G162" s="17" t="s">
        <v>19</v>
      </c>
      <c r="H162" s="17" t="s">
        <v>20</v>
      </c>
      <c r="I162" s="17">
        <v>1</v>
      </c>
      <c r="J162" s="17" t="s">
        <v>21</v>
      </c>
      <c r="K162" s="12" t="s">
        <v>22</v>
      </c>
      <c r="L162" s="13">
        <v>25</v>
      </c>
    </row>
    <row r="163" spans="1:12" s="10" customFormat="1" ht="18" x14ac:dyDescent="0.25">
      <c r="A163" s="11">
        <v>159</v>
      </c>
      <c r="B163" s="17" t="s">
        <v>372</v>
      </c>
      <c r="C163" s="17">
        <v>149106</v>
      </c>
      <c r="D163" s="17" t="s">
        <v>397</v>
      </c>
      <c r="E163" s="18">
        <v>201680063486</v>
      </c>
      <c r="F163" s="17" t="s">
        <v>396</v>
      </c>
      <c r="G163" s="17" t="s">
        <v>19</v>
      </c>
      <c r="H163" s="17" t="s">
        <v>20</v>
      </c>
      <c r="I163" s="17">
        <v>1</v>
      </c>
      <c r="J163" s="17" t="s">
        <v>21</v>
      </c>
      <c r="K163" s="12" t="s">
        <v>22</v>
      </c>
      <c r="L163" s="13">
        <v>25</v>
      </c>
    </row>
    <row r="164" spans="1:12" s="10" customFormat="1" ht="18" x14ac:dyDescent="0.25">
      <c r="A164" s="11">
        <v>160</v>
      </c>
      <c r="B164" s="17" t="s">
        <v>372</v>
      </c>
      <c r="C164" s="17">
        <v>149106</v>
      </c>
      <c r="D164" s="17" t="s">
        <v>398</v>
      </c>
      <c r="E164" s="18">
        <v>201680063487</v>
      </c>
      <c r="F164" s="17" t="s">
        <v>396</v>
      </c>
      <c r="G164" s="17" t="s">
        <v>19</v>
      </c>
      <c r="H164" s="17" t="s">
        <v>20</v>
      </c>
      <c r="I164" s="17">
        <v>1</v>
      </c>
      <c r="J164" s="17" t="s">
        <v>21</v>
      </c>
      <c r="K164" s="12" t="s">
        <v>22</v>
      </c>
      <c r="L164" s="13">
        <v>25</v>
      </c>
    </row>
    <row r="165" spans="1:12" s="10" customFormat="1" ht="18" x14ac:dyDescent="0.25">
      <c r="A165" s="11">
        <v>161</v>
      </c>
      <c r="B165" s="17" t="s">
        <v>372</v>
      </c>
      <c r="C165" s="17">
        <v>149106</v>
      </c>
      <c r="D165" s="17" t="s">
        <v>399</v>
      </c>
      <c r="E165" s="18">
        <v>201680063488</v>
      </c>
      <c r="F165" s="17" t="s">
        <v>396</v>
      </c>
      <c r="G165" s="17" t="s">
        <v>19</v>
      </c>
      <c r="H165" s="17" t="s">
        <v>20</v>
      </c>
      <c r="I165" s="17">
        <v>1</v>
      </c>
      <c r="J165" s="17" t="s">
        <v>21</v>
      </c>
      <c r="K165" s="12" t="s">
        <v>22</v>
      </c>
      <c r="L165" s="13">
        <v>25</v>
      </c>
    </row>
    <row r="166" spans="1:12" s="10" customFormat="1" ht="18" x14ac:dyDescent="0.25">
      <c r="A166" s="11">
        <v>162</v>
      </c>
      <c r="B166" s="17" t="s">
        <v>372</v>
      </c>
      <c r="C166" s="17">
        <v>149106</v>
      </c>
      <c r="D166" s="17" t="s">
        <v>400</v>
      </c>
      <c r="E166" s="18">
        <v>201680063489</v>
      </c>
      <c r="F166" s="17" t="s">
        <v>396</v>
      </c>
      <c r="G166" s="17" t="s">
        <v>19</v>
      </c>
      <c r="H166" s="17" t="s">
        <v>20</v>
      </c>
      <c r="I166" s="17">
        <v>1</v>
      </c>
      <c r="J166" s="17" t="s">
        <v>21</v>
      </c>
      <c r="K166" s="12" t="s">
        <v>22</v>
      </c>
      <c r="L166" s="13">
        <v>25</v>
      </c>
    </row>
    <row r="167" spans="1:12" s="10" customFormat="1" ht="18" x14ac:dyDescent="0.25">
      <c r="A167" s="11">
        <v>163</v>
      </c>
      <c r="B167" s="17" t="s">
        <v>372</v>
      </c>
      <c r="C167" s="17">
        <v>149106</v>
      </c>
      <c r="D167" s="17" t="s">
        <v>401</v>
      </c>
      <c r="E167" s="18">
        <v>201680063490</v>
      </c>
      <c r="F167" s="17" t="s">
        <v>396</v>
      </c>
      <c r="G167" s="17" t="s">
        <v>19</v>
      </c>
      <c r="H167" s="17" t="s">
        <v>20</v>
      </c>
      <c r="I167" s="17">
        <v>1</v>
      </c>
      <c r="J167" s="17" t="s">
        <v>21</v>
      </c>
      <c r="K167" s="12" t="s">
        <v>22</v>
      </c>
      <c r="L167" s="13">
        <v>25</v>
      </c>
    </row>
    <row r="168" spans="1:12" s="10" customFormat="1" ht="18" x14ac:dyDescent="0.25">
      <c r="A168" s="11">
        <v>164</v>
      </c>
      <c r="B168" s="17" t="s">
        <v>372</v>
      </c>
      <c r="C168" s="17">
        <v>149106</v>
      </c>
      <c r="D168" s="17" t="s">
        <v>402</v>
      </c>
      <c r="E168" s="18">
        <v>201680063491</v>
      </c>
      <c r="F168" s="17" t="s">
        <v>396</v>
      </c>
      <c r="G168" s="17" t="s">
        <v>19</v>
      </c>
      <c r="H168" s="17" t="s">
        <v>20</v>
      </c>
      <c r="I168" s="17">
        <v>1</v>
      </c>
      <c r="J168" s="17" t="s">
        <v>21</v>
      </c>
      <c r="K168" s="12" t="s">
        <v>22</v>
      </c>
      <c r="L168" s="13">
        <v>25</v>
      </c>
    </row>
    <row r="169" spans="1:12" s="10" customFormat="1" ht="18" x14ac:dyDescent="0.25">
      <c r="A169" s="11">
        <v>165</v>
      </c>
      <c r="B169" s="17" t="s">
        <v>372</v>
      </c>
      <c r="C169" s="17">
        <v>149106</v>
      </c>
      <c r="D169" s="17" t="s">
        <v>403</v>
      </c>
      <c r="E169" s="18">
        <v>201680063492</v>
      </c>
      <c r="F169" s="17" t="s">
        <v>396</v>
      </c>
      <c r="G169" s="17" t="s">
        <v>19</v>
      </c>
      <c r="H169" s="17" t="s">
        <v>20</v>
      </c>
      <c r="I169" s="17">
        <v>1</v>
      </c>
      <c r="J169" s="17" t="s">
        <v>21</v>
      </c>
      <c r="K169" s="12" t="s">
        <v>22</v>
      </c>
      <c r="L169" s="13">
        <v>25</v>
      </c>
    </row>
    <row r="170" spans="1:12" s="10" customFormat="1" ht="18" x14ac:dyDescent="0.25">
      <c r="A170" s="11">
        <v>166</v>
      </c>
      <c r="B170" s="17" t="s">
        <v>372</v>
      </c>
      <c r="C170" s="17">
        <v>149106</v>
      </c>
      <c r="D170" s="17" t="s">
        <v>404</v>
      </c>
      <c r="E170" s="18">
        <v>201680063493</v>
      </c>
      <c r="F170" s="17" t="s">
        <v>396</v>
      </c>
      <c r="G170" s="17" t="s">
        <v>19</v>
      </c>
      <c r="H170" s="17" t="s">
        <v>20</v>
      </c>
      <c r="I170" s="17">
        <v>1</v>
      </c>
      <c r="J170" s="17" t="s">
        <v>21</v>
      </c>
      <c r="K170" s="12" t="s">
        <v>22</v>
      </c>
      <c r="L170" s="13">
        <v>25</v>
      </c>
    </row>
    <row r="171" spans="1:12" s="10" customFormat="1" ht="18" x14ac:dyDescent="0.25">
      <c r="A171" s="11">
        <v>167</v>
      </c>
      <c r="B171" s="17" t="s">
        <v>372</v>
      </c>
      <c r="C171" s="17">
        <v>149106</v>
      </c>
      <c r="D171" s="17" t="s">
        <v>405</v>
      </c>
      <c r="E171" s="18">
        <v>201680063494</v>
      </c>
      <c r="F171" s="17" t="s">
        <v>396</v>
      </c>
      <c r="G171" s="17" t="s">
        <v>19</v>
      </c>
      <c r="H171" s="17" t="s">
        <v>20</v>
      </c>
      <c r="I171" s="17">
        <v>1</v>
      </c>
      <c r="J171" s="17" t="s">
        <v>21</v>
      </c>
      <c r="K171" s="12" t="s">
        <v>22</v>
      </c>
      <c r="L171" s="13">
        <v>25</v>
      </c>
    </row>
    <row r="172" spans="1:12" s="10" customFormat="1" ht="18" x14ac:dyDescent="0.25">
      <c r="A172" s="11">
        <v>168</v>
      </c>
      <c r="B172" s="12" t="s">
        <v>406</v>
      </c>
      <c r="C172" s="12" t="str">
        <f>"140203"</f>
        <v>140203</v>
      </c>
      <c r="D172" s="12" t="str">
        <f>"14.140203/2024.00321/BC.O."</f>
        <v>14.140203/2024.00321/BC.O.</v>
      </c>
      <c r="E172" s="12" t="str">
        <f>"201180007801"</f>
        <v>201180007801</v>
      </c>
      <c r="F172" s="12" t="str">
        <f>"EQUIPO/DE ANESTESIA BASICO"</f>
        <v>EQUIPO/DE ANESTESIA BASICO</v>
      </c>
      <c r="G172" s="12" t="s">
        <v>19</v>
      </c>
      <c r="H172" s="12" t="s">
        <v>20</v>
      </c>
      <c r="I172" s="12">
        <v>1</v>
      </c>
      <c r="J172" s="12" t="s">
        <v>21</v>
      </c>
      <c r="K172" s="12" t="s">
        <v>22</v>
      </c>
      <c r="L172" s="13">
        <v>300</v>
      </c>
    </row>
    <row r="173" spans="1:12" s="10" customFormat="1" ht="18" x14ac:dyDescent="0.25">
      <c r="A173" s="11">
        <v>169</v>
      </c>
      <c r="B173" s="12" t="s">
        <v>407</v>
      </c>
      <c r="C173" s="12" t="str">
        <f t="shared" ref="C173:C181" si="1">"149104"</f>
        <v>149104</v>
      </c>
      <c r="D173" s="12" t="str">
        <f>"14.149104/2024.00074/BC.I."</f>
        <v>14.149104/2024.00074/BC.I.</v>
      </c>
      <c r="E173" s="12" t="str">
        <f>"2001955439"</f>
        <v>2001955439</v>
      </c>
      <c r="F173" s="12" t="str">
        <f t="shared" ref="F173:F178" si="2">"COMPUTADORA/MICROCOMPUTADORA"</f>
        <v>COMPUTADORA/MICROCOMPUTADORA</v>
      </c>
      <c r="G173" s="12" t="s">
        <v>19</v>
      </c>
      <c r="H173" s="12" t="s">
        <v>20</v>
      </c>
      <c r="I173" s="12">
        <v>1</v>
      </c>
      <c r="J173" s="12" t="s">
        <v>21</v>
      </c>
      <c r="K173" s="12" t="s">
        <v>22</v>
      </c>
      <c r="L173" s="13">
        <v>35</v>
      </c>
    </row>
    <row r="174" spans="1:12" s="10" customFormat="1" ht="18" x14ac:dyDescent="0.25">
      <c r="A174" s="11">
        <v>170</v>
      </c>
      <c r="B174" s="12" t="s">
        <v>407</v>
      </c>
      <c r="C174" s="12" t="str">
        <f t="shared" si="1"/>
        <v>149104</v>
      </c>
      <c r="D174" s="12" t="str">
        <f>"14.149104/2024.00072/BC.I."</f>
        <v>14.149104/2024.00072/BC.I.</v>
      </c>
      <c r="E174" s="12" t="str">
        <f>"2001955442"</f>
        <v>2001955442</v>
      </c>
      <c r="F174" s="12" t="str">
        <f t="shared" si="2"/>
        <v>COMPUTADORA/MICROCOMPUTADORA</v>
      </c>
      <c r="G174" s="12" t="s">
        <v>19</v>
      </c>
      <c r="H174" s="12" t="s">
        <v>20</v>
      </c>
      <c r="I174" s="12">
        <v>1</v>
      </c>
      <c r="J174" s="12" t="s">
        <v>21</v>
      </c>
      <c r="K174" s="12" t="s">
        <v>22</v>
      </c>
      <c r="L174" s="13">
        <v>35</v>
      </c>
    </row>
    <row r="175" spans="1:12" s="10" customFormat="1" ht="18" x14ac:dyDescent="0.25">
      <c r="A175" s="11">
        <v>171</v>
      </c>
      <c r="B175" s="12" t="s">
        <v>407</v>
      </c>
      <c r="C175" s="12" t="str">
        <f t="shared" si="1"/>
        <v>149104</v>
      </c>
      <c r="D175" s="12" t="str">
        <f>"14.149104/2024.00077/BC.I."</f>
        <v>14.149104/2024.00077/BC.I.</v>
      </c>
      <c r="E175" s="12" t="str">
        <f>"2001955447"</f>
        <v>2001955447</v>
      </c>
      <c r="F175" s="12" t="str">
        <f t="shared" si="2"/>
        <v>COMPUTADORA/MICROCOMPUTADORA</v>
      </c>
      <c r="G175" s="12" t="s">
        <v>19</v>
      </c>
      <c r="H175" s="12" t="s">
        <v>20</v>
      </c>
      <c r="I175" s="12">
        <v>1</v>
      </c>
      <c r="J175" s="12" t="s">
        <v>21</v>
      </c>
      <c r="K175" s="12" t="s">
        <v>22</v>
      </c>
      <c r="L175" s="13">
        <v>35</v>
      </c>
    </row>
    <row r="176" spans="1:12" s="10" customFormat="1" ht="18" x14ac:dyDescent="0.25">
      <c r="A176" s="11">
        <v>172</v>
      </c>
      <c r="B176" s="12" t="s">
        <v>407</v>
      </c>
      <c r="C176" s="12" t="str">
        <f t="shared" si="1"/>
        <v>149104</v>
      </c>
      <c r="D176" s="12" t="str">
        <f>"14.149104/2024.00073/BC.I."</f>
        <v>14.149104/2024.00073/BC.I.</v>
      </c>
      <c r="E176" s="12" t="str">
        <f>"2001955721"</f>
        <v>2001955721</v>
      </c>
      <c r="F176" s="12" t="str">
        <f t="shared" si="2"/>
        <v>COMPUTADORA/MICROCOMPUTADORA</v>
      </c>
      <c r="G176" s="12" t="s">
        <v>19</v>
      </c>
      <c r="H176" s="12" t="s">
        <v>20</v>
      </c>
      <c r="I176" s="12">
        <v>1</v>
      </c>
      <c r="J176" s="12" t="s">
        <v>21</v>
      </c>
      <c r="K176" s="12" t="s">
        <v>22</v>
      </c>
      <c r="L176" s="13">
        <v>35</v>
      </c>
    </row>
    <row r="177" spans="1:12" s="10" customFormat="1" ht="18" x14ac:dyDescent="0.25">
      <c r="A177" s="11">
        <v>173</v>
      </c>
      <c r="B177" s="12" t="s">
        <v>407</v>
      </c>
      <c r="C177" s="12" t="str">
        <f t="shared" si="1"/>
        <v>149104</v>
      </c>
      <c r="D177" s="12" t="str">
        <f>"14.149104/2024.00075/BC.I."</f>
        <v>14.149104/2024.00075/BC.I.</v>
      </c>
      <c r="E177" s="12" t="str">
        <f>"2001955765"</f>
        <v>2001955765</v>
      </c>
      <c r="F177" s="12" t="str">
        <f t="shared" si="2"/>
        <v>COMPUTADORA/MICROCOMPUTADORA</v>
      </c>
      <c r="G177" s="12" t="s">
        <v>19</v>
      </c>
      <c r="H177" s="12" t="s">
        <v>20</v>
      </c>
      <c r="I177" s="12">
        <v>1</v>
      </c>
      <c r="J177" s="12" t="s">
        <v>21</v>
      </c>
      <c r="K177" s="12" t="s">
        <v>22</v>
      </c>
      <c r="L177" s="13">
        <v>35</v>
      </c>
    </row>
    <row r="178" spans="1:12" s="10" customFormat="1" ht="18" x14ac:dyDescent="0.25">
      <c r="A178" s="11">
        <v>174</v>
      </c>
      <c r="B178" s="12" t="s">
        <v>407</v>
      </c>
      <c r="C178" s="12" t="str">
        <f t="shared" si="1"/>
        <v>149104</v>
      </c>
      <c r="D178" s="12" t="str">
        <f>"14.149104/2024.00076/BC.I."</f>
        <v>14.149104/2024.00076/BC.I.</v>
      </c>
      <c r="E178" s="12" t="str">
        <f>"2001976236"</f>
        <v>2001976236</v>
      </c>
      <c r="F178" s="12" t="str">
        <f t="shared" si="2"/>
        <v>COMPUTADORA/MICROCOMPUTADORA</v>
      </c>
      <c r="G178" s="12" t="s">
        <v>19</v>
      </c>
      <c r="H178" s="12" t="s">
        <v>20</v>
      </c>
      <c r="I178" s="12">
        <v>1</v>
      </c>
      <c r="J178" s="12" t="s">
        <v>21</v>
      </c>
      <c r="K178" s="12" t="s">
        <v>22</v>
      </c>
      <c r="L178" s="13">
        <v>35</v>
      </c>
    </row>
    <row r="179" spans="1:12" s="10" customFormat="1" ht="18" x14ac:dyDescent="0.25">
      <c r="A179" s="11">
        <v>175</v>
      </c>
      <c r="B179" s="12" t="s">
        <v>407</v>
      </c>
      <c r="C179" s="12" t="str">
        <f t="shared" si="1"/>
        <v>149104</v>
      </c>
      <c r="D179" s="12" t="str">
        <f>"14.149104/2024.00078/BC.I."</f>
        <v>14.149104/2024.00078/BC.I.</v>
      </c>
      <c r="E179" s="12" t="str">
        <f>"200380005962"</f>
        <v>200380005962</v>
      </c>
      <c r="F179" s="12" t="str">
        <f>"IMPRESORA/LASER PARA COMPUTACION"</f>
        <v>IMPRESORA/LASER PARA COMPUTACION</v>
      </c>
      <c r="G179" s="12" t="s">
        <v>19</v>
      </c>
      <c r="H179" s="12" t="s">
        <v>20</v>
      </c>
      <c r="I179" s="12">
        <v>1</v>
      </c>
      <c r="J179" s="12" t="s">
        <v>21</v>
      </c>
      <c r="K179" s="12" t="s">
        <v>22</v>
      </c>
      <c r="L179" s="13">
        <v>30</v>
      </c>
    </row>
    <row r="180" spans="1:12" s="10" customFormat="1" ht="18" x14ac:dyDescent="0.25">
      <c r="A180" s="11">
        <v>176</v>
      </c>
      <c r="B180" s="12" t="s">
        <v>407</v>
      </c>
      <c r="C180" s="12" t="str">
        <f t="shared" si="1"/>
        <v>149104</v>
      </c>
      <c r="D180" s="12" t="str">
        <f>"14.149104/2024.00079/BC.I."</f>
        <v>14.149104/2024.00079/BC.I.</v>
      </c>
      <c r="E180" s="12" t="str">
        <f>"200580027940"</f>
        <v>200580027940</v>
      </c>
      <c r="F180" s="12" t="str">
        <f>"COMPUTADORA/CENTRAL DE PROCESO"</f>
        <v>COMPUTADORA/CENTRAL DE PROCESO</v>
      </c>
      <c r="G180" s="12" t="s">
        <v>19</v>
      </c>
      <c r="H180" s="12" t="s">
        <v>20</v>
      </c>
      <c r="I180" s="12">
        <v>1</v>
      </c>
      <c r="J180" s="12" t="s">
        <v>21</v>
      </c>
      <c r="K180" s="12" t="s">
        <v>22</v>
      </c>
      <c r="L180" s="13">
        <v>35</v>
      </c>
    </row>
    <row r="181" spans="1:12" s="10" customFormat="1" ht="18" x14ac:dyDescent="0.25">
      <c r="A181" s="11">
        <v>177</v>
      </c>
      <c r="B181" s="12" t="s">
        <v>407</v>
      </c>
      <c r="C181" s="12" t="str">
        <f t="shared" si="1"/>
        <v>149104</v>
      </c>
      <c r="D181" s="12" t="str">
        <f>"14.149104/2024.00071/BC.I."</f>
        <v>14.149104/2024.00071/BC.I.</v>
      </c>
      <c r="E181" s="12" t="str">
        <f>"200600077868"</f>
        <v>200600077868</v>
      </c>
      <c r="F181" s="12" t="str">
        <f>"IMPRESORA/LASER PARA COMPUTACION"</f>
        <v>IMPRESORA/LASER PARA COMPUTACION</v>
      </c>
      <c r="G181" s="12" t="s">
        <v>19</v>
      </c>
      <c r="H181" s="12" t="s">
        <v>20</v>
      </c>
      <c r="I181" s="12">
        <v>1</v>
      </c>
      <c r="J181" s="12" t="s">
        <v>21</v>
      </c>
      <c r="K181" s="12" t="s">
        <v>22</v>
      </c>
      <c r="L181" s="13">
        <v>30</v>
      </c>
    </row>
    <row r="182" spans="1:12" s="10" customFormat="1" ht="18" x14ac:dyDescent="0.25">
      <c r="A182" s="11">
        <v>178</v>
      </c>
      <c r="B182" s="12" t="s">
        <v>408</v>
      </c>
      <c r="C182" s="12" t="str">
        <f t="shared" ref="C182:C213" si="3">"140103"</f>
        <v>140103</v>
      </c>
      <c r="D182" s="12" t="str">
        <f>"14.140103/2024.00736/BC.I."</f>
        <v>14.140103/2024.00736/BC.I.</v>
      </c>
      <c r="E182" s="12" t="str">
        <f>"200700005879"</f>
        <v>200700005879</v>
      </c>
      <c r="F182" s="12" t="str">
        <f>"EQUIPO/DE MICROCOMPUTACION"</f>
        <v>EQUIPO/DE MICROCOMPUTACION</v>
      </c>
      <c r="G182" s="12" t="s">
        <v>19</v>
      </c>
      <c r="H182" s="12" t="s">
        <v>20</v>
      </c>
      <c r="I182" s="12">
        <v>1</v>
      </c>
      <c r="J182" s="12" t="s">
        <v>21</v>
      </c>
      <c r="K182" s="12" t="s">
        <v>22</v>
      </c>
      <c r="L182" s="13">
        <v>35</v>
      </c>
    </row>
    <row r="183" spans="1:12" s="10" customFormat="1" ht="18" x14ac:dyDescent="0.25">
      <c r="A183" s="11">
        <v>179</v>
      </c>
      <c r="B183" s="12" t="s">
        <v>408</v>
      </c>
      <c r="C183" s="12" t="str">
        <f t="shared" si="3"/>
        <v>140103</v>
      </c>
      <c r="D183" s="12" t="str">
        <f>"14.140103/2024.00725/BC.I."</f>
        <v>14.140103/2024.00725/BC.I.</v>
      </c>
      <c r="E183" s="12" t="str">
        <f>"201080026810"</f>
        <v>201080026810</v>
      </c>
      <c r="F183" s="12" t="str">
        <f t="shared" ref="F183:F191" si="4">"COMPUTADORA/MICROCOMPUTADORA"</f>
        <v>COMPUTADORA/MICROCOMPUTADORA</v>
      </c>
      <c r="G183" s="12" t="s">
        <v>19</v>
      </c>
      <c r="H183" s="12" t="s">
        <v>20</v>
      </c>
      <c r="I183" s="12">
        <v>1</v>
      </c>
      <c r="J183" s="12" t="s">
        <v>21</v>
      </c>
      <c r="K183" s="12" t="s">
        <v>22</v>
      </c>
      <c r="L183" s="13">
        <v>35</v>
      </c>
    </row>
    <row r="184" spans="1:12" s="10" customFormat="1" ht="18" x14ac:dyDescent="0.25">
      <c r="A184" s="11">
        <v>180</v>
      </c>
      <c r="B184" s="12" t="s">
        <v>408</v>
      </c>
      <c r="C184" s="12" t="str">
        <f t="shared" si="3"/>
        <v>140103</v>
      </c>
      <c r="D184" s="12" t="str">
        <f>"14.140103/2024.00722/BC.I."</f>
        <v>14.140103/2024.00722/BC.I.</v>
      </c>
      <c r="E184" s="12" t="str">
        <f>"201080026836"</f>
        <v>201080026836</v>
      </c>
      <c r="F184" s="12" t="str">
        <f t="shared" si="4"/>
        <v>COMPUTADORA/MICROCOMPUTADORA</v>
      </c>
      <c r="G184" s="12" t="s">
        <v>19</v>
      </c>
      <c r="H184" s="12" t="s">
        <v>20</v>
      </c>
      <c r="I184" s="12">
        <v>1</v>
      </c>
      <c r="J184" s="12" t="s">
        <v>21</v>
      </c>
      <c r="K184" s="12" t="s">
        <v>22</v>
      </c>
      <c r="L184" s="13">
        <v>35</v>
      </c>
    </row>
    <row r="185" spans="1:12" s="10" customFormat="1" ht="18" x14ac:dyDescent="0.25">
      <c r="A185" s="11">
        <v>181</v>
      </c>
      <c r="B185" s="12" t="s">
        <v>408</v>
      </c>
      <c r="C185" s="12" t="str">
        <f t="shared" si="3"/>
        <v>140103</v>
      </c>
      <c r="D185" s="12" t="str">
        <f>"14.140103/2024.00740/BC.I."</f>
        <v>14.140103/2024.00740/BC.I.</v>
      </c>
      <c r="E185" s="12" t="str">
        <f>"201080026838"</f>
        <v>201080026838</v>
      </c>
      <c r="F185" s="12" t="str">
        <f t="shared" si="4"/>
        <v>COMPUTADORA/MICROCOMPUTADORA</v>
      </c>
      <c r="G185" s="12" t="s">
        <v>19</v>
      </c>
      <c r="H185" s="12" t="s">
        <v>20</v>
      </c>
      <c r="I185" s="12">
        <v>1</v>
      </c>
      <c r="J185" s="12" t="s">
        <v>21</v>
      </c>
      <c r="K185" s="12" t="s">
        <v>22</v>
      </c>
      <c r="L185" s="13">
        <v>35</v>
      </c>
    </row>
    <row r="186" spans="1:12" s="10" customFormat="1" ht="18" x14ac:dyDescent="0.25">
      <c r="A186" s="11">
        <v>182</v>
      </c>
      <c r="B186" s="12" t="s">
        <v>408</v>
      </c>
      <c r="C186" s="12" t="str">
        <f t="shared" si="3"/>
        <v>140103</v>
      </c>
      <c r="D186" s="12" t="str">
        <f>"14.140103/2024.00729/BC.I."</f>
        <v>14.140103/2024.00729/BC.I.</v>
      </c>
      <c r="E186" s="12" t="str">
        <f>"201080026840"</f>
        <v>201080026840</v>
      </c>
      <c r="F186" s="12" t="str">
        <f t="shared" si="4"/>
        <v>COMPUTADORA/MICROCOMPUTADORA</v>
      </c>
      <c r="G186" s="12" t="s">
        <v>19</v>
      </c>
      <c r="H186" s="12" t="s">
        <v>20</v>
      </c>
      <c r="I186" s="12">
        <v>1</v>
      </c>
      <c r="J186" s="12" t="s">
        <v>21</v>
      </c>
      <c r="K186" s="12" t="s">
        <v>22</v>
      </c>
      <c r="L186" s="13">
        <v>35</v>
      </c>
    </row>
    <row r="187" spans="1:12" s="10" customFormat="1" ht="18" x14ac:dyDescent="0.25">
      <c r="A187" s="11">
        <v>183</v>
      </c>
      <c r="B187" s="12" t="s">
        <v>408</v>
      </c>
      <c r="C187" s="12" t="str">
        <f t="shared" si="3"/>
        <v>140103</v>
      </c>
      <c r="D187" s="12" t="str">
        <f>"14.140103/2024.00728/BC.I."</f>
        <v>14.140103/2024.00728/BC.I.</v>
      </c>
      <c r="E187" s="12" t="str">
        <f>"201080027753"</f>
        <v>201080027753</v>
      </c>
      <c r="F187" s="12" t="str">
        <f t="shared" si="4"/>
        <v>COMPUTADORA/MICROCOMPUTADORA</v>
      </c>
      <c r="G187" s="12" t="s">
        <v>19</v>
      </c>
      <c r="H187" s="12" t="s">
        <v>20</v>
      </c>
      <c r="I187" s="12">
        <v>1</v>
      </c>
      <c r="J187" s="12" t="s">
        <v>21</v>
      </c>
      <c r="K187" s="12" t="s">
        <v>22</v>
      </c>
      <c r="L187" s="13">
        <v>35</v>
      </c>
    </row>
    <row r="188" spans="1:12" s="10" customFormat="1" ht="18" x14ac:dyDescent="0.25">
      <c r="A188" s="11">
        <v>184</v>
      </c>
      <c r="B188" s="12" t="s">
        <v>408</v>
      </c>
      <c r="C188" s="12" t="str">
        <f t="shared" si="3"/>
        <v>140103</v>
      </c>
      <c r="D188" s="12" t="str">
        <f>"14.140103/2024.00723/BC.I."</f>
        <v>14.140103/2024.00723/BC.I.</v>
      </c>
      <c r="E188" s="12" t="str">
        <f>"201080034069"</f>
        <v>201080034069</v>
      </c>
      <c r="F188" s="12" t="str">
        <f t="shared" si="4"/>
        <v>COMPUTADORA/MICROCOMPUTADORA</v>
      </c>
      <c r="G188" s="12" t="s">
        <v>19</v>
      </c>
      <c r="H188" s="12" t="s">
        <v>20</v>
      </c>
      <c r="I188" s="12">
        <v>1</v>
      </c>
      <c r="J188" s="12" t="s">
        <v>21</v>
      </c>
      <c r="K188" s="12" t="s">
        <v>22</v>
      </c>
      <c r="L188" s="13">
        <v>35</v>
      </c>
    </row>
    <row r="189" spans="1:12" s="10" customFormat="1" ht="18" x14ac:dyDescent="0.25">
      <c r="A189" s="11">
        <v>185</v>
      </c>
      <c r="B189" s="12" t="s">
        <v>408</v>
      </c>
      <c r="C189" s="12" t="str">
        <f t="shared" si="3"/>
        <v>140103</v>
      </c>
      <c r="D189" s="12" t="str">
        <f>"14.140103/2024.00726/BC.I."</f>
        <v>14.140103/2024.00726/BC.I.</v>
      </c>
      <c r="E189" s="12" t="str">
        <f>"201080034238"</f>
        <v>201080034238</v>
      </c>
      <c r="F189" s="12" t="str">
        <f t="shared" si="4"/>
        <v>COMPUTADORA/MICROCOMPUTADORA</v>
      </c>
      <c r="G189" s="12" t="s">
        <v>19</v>
      </c>
      <c r="H189" s="12" t="s">
        <v>20</v>
      </c>
      <c r="I189" s="12">
        <v>1</v>
      </c>
      <c r="J189" s="12" t="s">
        <v>21</v>
      </c>
      <c r="K189" s="12" t="s">
        <v>22</v>
      </c>
      <c r="L189" s="13">
        <v>35</v>
      </c>
    </row>
    <row r="190" spans="1:12" s="10" customFormat="1" ht="18" x14ac:dyDescent="0.25">
      <c r="A190" s="11">
        <v>186</v>
      </c>
      <c r="B190" s="12" t="s">
        <v>408</v>
      </c>
      <c r="C190" s="12" t="str">
        <f t="shared" si="3"/>
        <v>140103</v>
      </c>
      <c r="D190" s="12" t="str">
        <f>"14.140103/2024.00720/BC.I."</f>
        <v>14.140103/2024.00720/BC.I.</v>
      </c>
      <c r="E190" s="12" t="str">
        <f>"201080034326"</f>
        <v>201080034326</v>
      </c>
      <c r="F190" s="12" t="str">
        <f t="shared" si="4"/>
        <v>COMPUTADORA/MICROCOMPUTADORA</v>
      </c>
      <c r="G190" s="12" t="s">
        <v>19</v>
      </c>
      <c r="H190" s="12" t="s">
        <v>20</v>
      </c>
      <c r="I190" s="12">
        <v>1</v>
      </c>
      <c r="J190" s="12" t="s">
        <v>21</v>
      </c>
      <c r="K190" s="12" t="s">
        <v>22</v>
      </c>
      <c r="L190" s="13">
        <v>35</v>
      </c>
    </row>
    <row r="191" spans="1:12" s="10" customFormat="1" ht="18" x14ac:dyDescent="0.25">
      <c r="A191" s="11">
        <v>187</v>
      </c>
      <c r="B191" s="12" t="s">
        <v>408</v>
      </c>
      <c r="C191" s="12" t="str">
        <f t="shared" si="3"/>
        <v>140103</v>
      </c>
      <c r="D191" s="12" t="str">
        <f>"14.140103/2024.00724/BC.I."</f>
        <v>14.140103/2024.00724/BC.I.</v>
      </c>
      <c r="E191" s="12" t="str">
        <f>"201180014776"</f>
        <v>201180014776</v>
      </c>
      <c r="F191" s="12" t="str">
        <f t="shared" si="4"/>
        <v>COMPUTADORA/MICROCOMPUTADORA</v>
      </c>
      <c r="G191" s="12" t="s">
        <v>19</v>
      </c>
      <c r="H191" s="12" t="s">
        <v>20</v>
      </c>
      <c r="I191" s="12">
        <v>1</v>
      </c>
      <c r="J191" s="12" t="s">
        <v>21</v>
      </c>
      <c r="K191" s="12" t="s">
        <v>22</v>
      </c>
      <c r="L191" s="13">
        <v>35</v>
      </c>
    </row>
    <row r="192" spans="1:12" s="10" customFormat="1" ht="18" x14ac:dyDescent="0.25">
      <c r="A192" s="11">
        <v>188</v>
      </c>
      <c r="B192" s="12" t="s">
        <v>408</v>
      </c>
      <c r="C192" s="12" t="str">
        <f t="shared" si="3"/>
        <v>140103</v>
      </c>
      <c r="D192" s="12" t="str">
        <f>"14.140103/2024.00709/BC.O."</f>
        <v>14.140103/2024.00709/BC.O.</v>
      </c>
      <c r="E192" s="12" t="str">
        <f>"200600014574"</f>
        <v>200600014574</v>
      </c>
      <c r="F192" s="12" t="str">
        <f>"LAMPARA/FRONTAL"</f>
        <v>LAMPARA/FRONTAL</v>
      </c>
      <c r="G192" s="12" t="s">
        <v>19</v>
      </c>
      <c r="H192" s="12" t="s">
        <v>20</v>
      </c>
      <c r="I192" s="12">
        <v>1</v>
      </c>
      <c r="J192" s="12" t="s">
        <v>21</v>
      </c>
      <c r="K192" s="12" t="s">
        <v>22</v>
      </c>
      <c r="L192" s="13">
        <v>10</v>
      </c>
    </row>
    <row r="193" spans="1:12" s="10" customFormat="1" ht="18" x14ac:dyDescent="0.25">
      <c r="A193" s="11">
        <v>189</v>
      </c>
      <c r="B193" s="12" t="s">
        <v>408</v>
      </c>
      <c r="C193" s="12" t="str">
        <f t="shared" si="3"/>
        <v>140103</v>
      </c>
      <c r="D193" s="12" t="str">
        <f>"14.140103/2024.00727/BC.O."</f>
        <v>14.140103/2024.00727/BC.O.</v>
      </c>
      <c r="E193" s="12" t="str">
        <f>"200600016112"</f>
        <v>200600016112</v>
      </c>
      <c r="F193" s="12" t="str">
        <f>"ECOCARDIOGRAFO/BIDIMENCIONAL DOPPLER"</f>
        <v>ECOCARDIOGRAFO/BIDIMENCIONAL DOPPLER</v>
      </c>
      <c r="G193" s="12" t="s">
        <v>19</v>
      </c>
      <c r="H193" s="12" t="s">
        <v>20</v>
      </c>
      <c r="I193" s="12">
        <v>1</v>
      </c>
      <c r="J193" s="12" t="s">
        <v>21</v>
      </c>
      <c r="K193" s="12" t="s">
        <v>22</v>
      </c>
      <c r="L193" s="13">
        <v>250</v>
      </c>
    </row>
    <row r="194" spans="1:12" s="10" customFormat="1" ht="18" x14ac:dyDescent="0.25">
      <c r="A194" s="11">
        <v>190</v>
      </c>
      <c r="B194" s="12" t="s">
        <v>408</v>
      </c>
      <c r="C194" s="12" t="str">
        <f t="shared" si="3"/>
        <v>140103</v>
      </c>
      <c r="D194" s="12" t="str">
        <f>"14.140103/2024.00714/BC.O."</f>
        <v>14.140103/2024.00714/BC.O.</v>
      </c>
      <c r="E194" s="12" t="str">
        <f>"200600016865"</f>
        <v>200600016865</v>
      </c>
      <c r="F194" s="12" t="str">
        <f>"EQUIPO/LASER PARA TERAPIA"</f>
        <v>EQUIPO/LASER PARA TERAPIA</v>
      </c>
      <c r="G194" s="12" t="s">
        <v>19</v>
      </c>
      <c r="H194" s="12" t="s">
        <v>20</v>
      </c>
      <c r="I194" s="12">
        <v>1</v>
      </c>
      <c r="J194" s="12" t="s">
        <v>21</v>
      </c>
      <c r="K194" s="12" t="s">
        <v>22</v>
      </c>
      <c r="L194" s="13">
        <v>100</v>
      </c>
    </row>
    <row r="195" spans="1:12" s="10" customFormat="1" ht="18" x14ac:dyDescent="0.25">
      <c r="A195" s="11">
        <v>191</v>
      </c>
      <c r="B195" s="12" t="s">
        <v>408</v>
      </c>
      <c r="C195" s="12" t="str">
        <f t="shared" si="3"/>
        <v>140103</v>
      </c>
      <c r="D195" s="12" t="str">
        <f>"14.140103/2024.00712/BC.O."</f>
        <v>14.140103/2024.00712/BC.O.</v>
      </c>
      <c r="E195" s="12" t="str">
        <f>"200600017056"</f>
        <v>200600017056</v>
      </c>
      <c r="F195" s="12" t="str">
        <f>"EQUIPO DE RAYOS X/PARA MASTOGRAFIA"</f>
        <v>EQUIPO DE RAYOS X/PARA MASTOGRAFIA</v>
      </c>
      <c r="G195" s="12" t="s">
        <v>19</v>
      </c>
      <c r="H195" s="12" t="s">
        <v>20</v>
      </c>
      <c r="I195" s="12">
        <v>1</v>
      </c>
      <c r="J195" s="12" t="s">
        <v>21</v>
      </c>
      <c r="K195" s="12" t="s">
        <v>22</v>
      </c>
      <c r="L195" s="13">
        <v>1500</v>
      </c>
    </row>
    <row r="196" spans="1:12" s="10" customFormat="1" ht="18" x14ac:dyDescent="0.25">
      <c r="A196" s="11">
        <v>192</v>
      </c>
      <c r="B196" s="12" t="s">
        <v>408</v>
      </c>
      <c r="C196" s="12" t="str">
        <f t="shared" si="3"/>
        <v>140103</v>
      </c>
      <c r="D196" s="12" t="str">
        <f>"14.140103/2024.00732/BC.O."</f>
        <v>14.140103/2024.00732/BC.O.</v>
      </c>
      <c r="E196" s="12" t="str">
        <f>"200600017236"</f>
        <v>200600017236</v>
      </c>
      <c r="F196" s="12" t="str">
        <f>"UNIDAD/ULTRASONICA DE TERAPIA"</f>
        <v>UNIDAD/ULTRASONICA DE TERAPIA</v>
      </c>
      <c r="G196" s="12" t="s">
        <v>19</v>
      </c>
      <c r="H196" s="12" t="s">
        <v>20</v>
      </c>
      <c r="I196" s="12">
        <v>1</v>
      </c>
      <c r="J196" s="12" t="s">
        <v>21</v>
      </c>
      <c r="K196" s="12" t="s">
        <v>22</v>
      </c>
      <c r="L196" s="13">
        <v>200</v>
      </c>
    </row>
    <row r="197" spans="1:12" s="10" customFormat="1" ht="18" x14ac:dyDescent="0.25">
      <c r="A197" s="11">
        <v>193</v>
      </c>
      <c r="B197" s="12" t="s">
        <v>408</v>
      </c>
      <c r="C197" s="12" t="str">
        <f t="shared" si="3"/>
        <v>140103</v>
      </c>
      <c r="D197" s="12" t="str">
        <f>"14.140103/2024.00733/BC.O."</f>
        <v>14.140103/2024.00733/BC.O.</v>
      </c>
      <c r="E197" s="12" t="str">
        <f>"200600017237"</f>
        <v>200600017237</v>
      </c>
      <c r="F197" s="12" t="str">
        <f>"UNIDAD/ULTRASONICA DE TERAPIA"</f>
        <v>UNIDAD/ULTRASONICA DE TERAPIA</v>
      </c>
      <c r="G197" s="12" t="s">
        <v>19</v>
      </c>
      <c r="H197" s="12" t="s">
        <v>20</v>
      </c>
      <c r="I197" s="12">
        <v>1</v>
      </c>
      <c r="J197" s="12" t="s">
        <v>21</v>
      </c>
      <c r="K197" s="12" t="s">
        <v>22</v>
      </c>
      <c r="L197" s="13">
        <v>200</v>
      </c>
    </row>
    <row r="198" spans="1:12" s="10" customFormat="1" ht="18" x14ac:dyDescent="0.25">
      <c r="A198" s="11">
        <v>194</v>
      </c>
      <c r="B198" s="12" t="s">
        <v>408</v>
      </c>
      <c r="C198" s="12" t="str">
        <f t="shared" si="3"/>
        <v>140103</v>
      </c>
      <c r="D198" s="12" t="str">
        <f>"14.140103/2024.00710/BC.O."</f>
        <v>14.140103/2024.00710/BC.O.</v>
      </c>
      <c r="E198" s="12" t="str">
        <f>"200600017419"</f>
        <v>200600017419</v>
      </c>
      <c r="F198" s="12" t="str">
        <f>"LAVADOR/DE ENDOSCOPIOS"</f>
        <v>LAVADOR/DE ENDOSCOPIOS</v>
      </c>
      <c r="G198" s="12" t="s">
        <v>19</v>
      </c>
      <c r="H198" s="12" t="s">
        <v>20</v>
      </c>
      <c r="I198" s="12">
        <v>1</v>
      </c>
      <c r="J198" s="12" t="s">
        <v>21</v>
      </c>
      <c r="K198" s="12" t="s">
        <v>22</v>
      </c>
      <c r="L198" s="13">
        <v>50</v>
      </c>
    </row>
    <row r="199" spans="1:12" s="10" customFormat="1" ht="18" x14ac:dyDescent="0.25">
      <c r="A199" s="11">
        <v>195</v>
      </c>
      <c r="B199" s="12" t="s">
        <v>408</v>
      </c>
      <c r="C199" s="12" t="str">
        <f t="shared" si="3"/>
        <v>140103</v>
      </c>
      <c r="D199" s="12" t="str">
        <f>"14.140103/2024.00737/BC.O."</f>
        <v>14.140103/2024.00737/BC.O.</v>
      </c>
      <c r="E199" s="12" t="str">
        <f>"200600017738"</f>
        <v>200600017738</v>
      </c>
      <c r="F199" s="12" t="str">
        <f>"TELESCOPIO/VISION DIRECTA"</f>
        <v>TELESCOPIO/VISION DIRECTA</v>
      </c>
      <c r="G199" s="12" t="s">
        <v>19</v>
      </c>
      <c r="H199" s="12" t="s">
        <v>20</v>
      </c>
      <c r="I199" s="12">
        <v>1</v>
      </c>
      <c r="J199" s="12" t="s">
        <v>21</v>
      </c>
      <c r="K199" s="12" t="s">
        <v>22</v>
      </c>
      <c r="L199" s="13">
        <v>40</v>
      </c>
    </row>
    <row r="200" spans="1:12" s="10" customFormat="1" ht="18" x14ac:dyDescent="0.25">
      <c r="A200" s="11">
        <v>196</v>
      </c>
      <c r="B200" s="12" t="s">
        <v>408</v>
      </c>
      <c r="C200" s="12" t="str">
        <f t="shared" si="3"/>
        <v>140103</v>
      </c>
      <c r="D200" s="12" t="str">
        <f>"14.140103/2024.00738/BC.O."</f>
        <v>14.140103/2024.00738/BC.O.</v>
      </c>
      <c r="E200" s="12" t="str">
        <f>"200600017740"</f>
        <v>200600017740</v>
      </c>
      <c r="F200" s="12" t="str">
        <f>"TELESCOPIO/VISION DIRECTA"</f>
        <v>TELESCOPIO/VISION DIRECTA</v>
      </c>
      <c r="G200" s="12" t="s">
        <v>19</v>
      </c>
      <c r="H200" s="12" t="s">
        <v>20</v>
      </c>
      <c r="I200" s="12">
        <v>1</v>
      </c>
      <c r="J200" s="12" t="s">
        <v>21</v>
      </c>
      <c r="K200" s="12" t="s">
        <v>22</v>
      </c>
      <c r="L200" s="13">
        <v>40</v>
      </c>
    </row>
    <row r="201" spans="1:12" s="10" customFormat="1" ht="18" x14ac:dyDescent="0.25">
      <c r="A201" s="11">
        <v>197</v>
      </c>
      <c r="B201" s="12" t="s">
        <v>408</v>
      </c>
      <c r="C201" s="12" t="str">
        <f t="shared" si="3"/>
        <v>140103</v>
      </c>
      <c r="D201" s="12" t="str">
        <f>"14.140103/2024.00739/BC.O."</f>
        <v>14.140103/2024.00739/BC.O.</v>
      </c>
      <c r="E201" s="12" t="str">
        <f>"200600017741"</f>
        <v>200600017741</v>
      </c>
      <c r="F201" s="12" t="str">
        <f>"TELESCOPIO/VISION DIRECTA"</f>
        <v>TELESCOPIO/VISION DIRECTA</v>
      </c>
      <c r="G201" s="12" t="s">
        <v>19</v>
      </c>
      <c r="H201" s="12" t="s">
        <v>20</v>
      </c>
      <c r="I201" s="12">
        <v>1</v>
      </c>
      <c r="J201" s="12" t="s">
        <v>21</v>
      </c>
      <c r="K201" s="12" t="s">
        <v>22</v>
      </c>
      <c r="L201" s="13">
        <v>40</v>
      </c>
    </row>
    <row r="202" spans="1:12" s="10" customFormat="1" ht="18" x14ac:dyDescent="0.25">
      <c r="A202" s="11">
        <v>198</v>
      </c>
      <c r="B202" s="12" t="s">
        <v>408</v>
      </c>
      <c r="C202" s="12" t="str">
        <f t="shared" si="3"/>
        <v>140103</v>
      </c>
      <c r="D202" s="12" t="str">
        <f>"14.140103/2024.00716/BC.O."</f>
        <v>14.140103/2024.00716/BC.O.</v>
      </c>
      <c r="E202" s="12" t="str">
        <f>"200600020725"</f>
        <v>200600020725</v>
      </c>
      <c r="F202" s="12" t="str">
        <f>"BAÑO/DE FLOTACION PARA TEJIDOS"</f>
        <v>BAÑO/DE FLOTACION PARA TEJIDOS</v>
      </c>
      <c r="G202" s="12" t="s">
        <v>19</v>
      </c>
      <c r="H202" s="12" t="s">
        <v>20</v>
      </c>
      <c r="I202" s="12">
        <v>1</v>
      </c>
      <c r="J202" s="12" t="s">
        <v>21</v>
      </c>
      <c r="K202" s="12" t="s">
        <v>22</v>
      </c>
      <c r="L202" s="13">
        <v>30</v>
      </c>
    </row>
    <row r="203" spans="1:12" s="10" customFormat="1" ht="18" x14ac:dyDescent="0.25">
      <c r="A203" s="11">
        <v>199</v>
      </c>
      <c r="B203" s="12" t="s">
        <v>408</v>
      </c>
      <c r="C203" s="12" t="str">
        <f t="shared" si="3"/>
        <v>140103</v>
      </c>
      <c r="D203" s="12" t="str">
        <f>"14.140103/2024.00721/BC.O."</f>
        <v>14.140103/2024.00721/BC.O.</v>
      </c>
      <c r="E203" s="12" t="str">
        <f>"200600020732"</f>
        <v>200600020732</v>
      </c>
      <c r="F203" s="12" t="str">
        <f>"EQUIPO/DE OFTALMOLOGIA"</f>
        <v>EQUIPO/DE OFTALMOLOGIA</v>
      </c>
      <c r="G203" s="12" t="s">
        <v>19</v>
      </c>
      <c r="H203" s="12" t="s">
        <v>20</v>
      </c>
      <c r="I203" s="12">
        <v>1</v>
      </c>
      <c r="J203" s="12" t="s">
        <v>21</v>
      </c>
      <c r="K203" s="12" t="s">
        <v>22</v>
      </c>
      <c r="L203" s="13">
        <v>35</v>
      </c>
    </row>
    <row r="204" spans="1:12" s="10" customFormat="1" ht="18" x14ac:dyDescent="0.25">
      <c r="A204" s="11">
        <v>200</v>
      </c>
      <c r="B204" s="12" t="s">
        <v>408</v>
      </c>
      <c r="C204" s="12" t="str">
        <f t="shared" si="3"/>
        <v>140103</v>
      </c>
      <c r="D204" s="12" t="str">
        <f>"14.140103/2024.00735/BC.O."</f>
        <v>14.140103/2024.00735/BC.O.</v>
      </c>
      <c r="E204" s="12" t="str">
        <f>"200600028943"</f>
        <v>200600028943</v>
      </c>
      <c r="F204" s="12" t="str">
        <f>"CUNA CALINTE,BABYTHERM/ELECTRICA"</f>
        <v>CUNA CALINTE,BABYTHERM/ELECTRICA</v>
      </c>
      <c r="G204" s="12" t="s">
        <v>19</v>
      </c>
      <c r="H204" s="12" t="s">
        <v>20</v>
      </c>
      <c r="I204" s="12">
        <v>1</v>
      </c>
      <c r="J204" s="12" t="s">
        <v>21</v>
      </c>
      <c r="K204" s="12" t="s">
        <v>22</v>
      </c>
      <c r="L204" s="13">
        <v>150</v>
      </c>
    </row>
    <row r="205" spans="1:12" s="10" customFormat="1" ht="18" x14ac:dyDescent="0.25">
      <c r="A205" s="11">
        <v>201</v>
      </c>
      <c r="B205" s="12" t="s">
        <v>408</v>
      </c>
      <c r="C205" s="12" t="str">
        <f t="shared" si="3"/>
        <v>140103</v>
      </c>
      <c r="D205" s="12" t="str">
        <f>"14.140103/2024.00711/BC.O."</f>
        <v>14.140103/2024.00711/BC.O.</v>
      </c>
      <c r="E205" s="12" t="str">
        <f>"200600037125"</f>
        <v>200600037125</v>
      </c>
      <c r="F205" s="12" t="str">
        <f>"SILLON/METALICO GIRATORIO"</f>
        <v>SILLON/METALICO GIRATORIO</v>
      </c>
      <c r="G205" s="12" t="s">
        <v>19</v>
      </c>
      <c r="H205" s="12" t="s">
        <v>20</v>
      </c>
      <c r="I205" s="12">
        <v>1</v>
      </c>
      <c r="J205" s="12" t="s">
        <v>21</v>
      </c>
      <c r="K205" s="12" t="s">
        <v>22</v>
      </c>
      <c r="L205" s="13">
        <v>25</v>
      </c>
    </row>
    <row r="206" spans="1:12" s="10" customFormat="1" ht="18" x14ac:dyDescent="0.25">
      <c r="A206" s="11">
        <v>202</v>
      </c>
      <c r="B206" s="12" t="s">
        <v>408</v>
      </c>
      <c r="C206" s="12" t="str">
        <f t="shared" si="3"/>
        <v>140103</v>
      </c>
      <c r="D206" s="12" t="str">
        <f>"14.140103/2024.00713/BC.O."</f>
        <v>14.140103/2024.00713/BC.O.</v>
      </c>
      <c r="E206" s="12" t="str">
        <f>"200600038948"</f>
        <v>200600038948</v>
      </c>
      <c r="F206" s="12" t="str">
        <f>"PROTECTOR/DE PLOMO"</f>
        <v>PROTECTOR/DE PLOMO</v>
      </c>
      <c r="G206" s="12" t="s">
        <v>19</v>
      </c>
      <c r="H206" s="12" t="s">
        <v>20</v>
      </c>
      <c r="I206" s="12">
        <v>1</v>
      </c>
      <c r="J206" s="12" t="s">
        <v>21</v>
      </c>
      <c r="K206" s="12" t="s">
        <v>22</v>
      </c>
      <c r="L206" s="13">
        <v>200</v>
      </c>
    </row>
    <row r="207" spans="1:12" s="10" customFormat="1" ht="18" x14ac:dyDescent="0.25">
      <c r="A207" s="11">
        <v>203</v>
      </c>
      <c r="B207" s="12" t="s">
        <v>408</v>
      </c>
      <c r="C207" s="12" t="str">
        <f t="shared" si="3"/>
        <v>140103</v>
      </c>
      <c r="D207" s="12" t="str">
        <f>"14.140103/2024.00715/BC.O."</f>
        <v>14.140103/2024.00715/BC.O.</v>
      </c>
      <c r="E207" s="12" t="str">
        <f>"200600062092"</f>
        <v>200600062092</v>
      </c>
      <c r="F207" s="12" t="str">
        <f>"ANAQUEL/GUARDA COMODOS MODELO MD3-26"</f>
        <v>ANAQUEL/GUARDA COMODOS MODELO MD3-26</v>
      </c>
      <c r="G207" s="12" t="s">
        <v>19</v>
      </c>
      <c r="H207" s="12" t="s">
        <v>20</v>
      </c>
      <c r="I207" s="12">
        <v>1</v>
      </c>
      <c r="J207" s="12" t="s">
        <v>21</v>
      </c>
      <c r="K207" s="12" t="s">
        <v>22</v>
      </c>
      <c r="L207" s="13">
        <v>30</v>
      </c>
    </row>
    <row r="208" spans="1:12" s="10" customFormat="1" ht="18" x14ac:dyDescent="0.25">
      <c r="A208" s="11">
        <v>204</v>
      </c>
      <c r="B208" s="12" t="s">
        <v>408</v>
      </c>
      <c r="C208" s="12" t="str">
        <f t="shared" si="3"/>
        <v>140103</v>
      </c>
      <c r="D208" s="12" t="str">
        <f>"14.140103/2024.00730/BC.O."</f>
        <v>14.140103/2024.00730/BC.O.</v>
      </c>
      <c r="E208" s="12" t="str">
        <f>"200600064949"</f>
        <v>200600064949</v>
      </c>
      <c r="F208" s="12" t="str">
        <f>"BASCULA/ELECTRONICA"</f>
        <v>BASCULA/ELECTRONICA</v>
      </c>
      <c r="G208" s="12" t="s">
        <v>19</v>
      </c>
      <c r="H208" s="12" t="s">
        <v>20</v>
      </c>
      <c r="I208" s="12">
        <v>1</v>
      </c>
      <c r="J208" s="12" t="s">
        <v>21</v>
      </c>
      <c r="K208" s="12" t="s">
        <v>22</v>
      </c>
      <c r="L208" s="13">
        <v>25</v>
      </c>
    </row>
    <row r="209" spans="1:12" s="10" customFormat="1" ht="18" x14ac:dyDescent="0.25">
      <c r="A209" s="11">
        <v>205</v>
      </c>
      <c r="B209" s="12" t="s">
        <v>408</v>
      </c>
      <c r="C209" s="12" t="str">
        <f t="shared" si="3"/>
        <v>140103</v>
      </c>
      <c r="D209" s="12" t="str">
        <f>"14.140103/2024.00718/BC.O."</f>
        <v>14.140103/2024.00718/BC.O.</v>
      </c>
      <c r="E209" s="12" t="str">
        <f>"200700007984"</f>
        <v>200700007984</v>
      </c>
      <c r="F209" s="12" t="str">
        <f>"GENERADOR/PARA APARATOS MEDICOS"</f>
        <v>GENERADOR/PARA APARATOS MEDICOS</v>
      </c>
      <c r="G209" s="12" t="s">
        <v>19</v>
      </c>
      <c r="H209" s="12" t="s">
        <v>20</v>
      </c>
      <c r="I209" s="12">
        <v>1</v>
      </c>
      <c r="J209" s="12" t="s">
        <v>21</v>
      </c>
      <c r="K209" s="12" t="s">
        <v>22</v>
      </c>
      <c r="L209" s="13">
        <v>50</v>
      </c>
    </row>
    <row r="210" spans="1:12" s="10" customFormat="1" ht="18" x14ac:dyDescent="0.25">
      <c r="A210" s="11">
        <v>206</v>
      </c>
      <c r="B210" s="12" t="s">
        <v>408</v>
      </c>
      <c r="C210" s="12" t="str">
        <f t="shared" si="3"/>
        <v>140103</v>
      </c>
      <c r="D210" s="12" t="str">
        <f>"14.140103/2024.00734/BC.O."</f>
        <v>14.140103/2024.00734/BC.O.</v>
      </c>
      <c r="E210" s="12" t="str">
        <f>"200700031349"</f>
        <v>200700031349</v>
      </c>
      <c r="F210" s="12" t="str">
        <f>"BASCULA/ELECTRONICA"</f>
        <v>BASCULA/ELECTRONICA</v>
      </c>
      <c r="G210" s="12" t="s">
        <v>19</v>
      </c>
      <c r="H210" s="12" t="s">
        <v>20</v>
      </c>
      <c r="I210" s="12">
        <v>1</v>
      </c>
      <c r="J210" s="12" t="s">
        <v>21</v>
      </c>
      <c r="K210" s="12" t="s">
        <v>22</v>
      </c>
      <c r="L210" s="13">
        <v>25</v>
      </c>
    </row>
    <row r="211" spans="1:12" s="10" customFormat="1" ht="18" x14ac:dyDescent="0.25">
      <c r="A211" s="11">
        <v>207</v>
      </c>
      <c r="B211" s="12" t="s">
        <v>408</v>
      </c>
      <c r="C211" s="12" t="str">
        <f t="shared" si="3"/>
        <v>140103</v>
      </c>
      <c r="D211" s="12" t="str">
        <f>"14.140103/2024.00731/BC.O."</f>
        <v>14.140103/2024.00731/BC.O.</v>
      </c>
      <c r="E211" s="12" t="str">
        <f>"200700031567"</f>
        <v>200700031567</v>
      </c>
      <c r="F211" s="12" t="str">
        <f>"SILLON/DE POSICIONES"</f>
        <v>SILLON/DE POSICIONES</v>
      </c>
      <c r="G211" s="12" t="s">
        <v>19</v>
      </c>
      <c r="H211" s="12" t="s">
        <v>20</v>
      </c>
      <c r="I211" s="12">
        <v>1</v>
      </c>
      <c r="J211" s="12" t="s">
        <v>21</v>
      </c>
      <c r="K211" s="12" t="s">
        <v>22</v>
      </c>
      <c r="L211" s="13">
        <v>25</v>
      </c>
    </row>
    <row r="212" spans="1:12" s="10" customFormat="1" ht="18" x14ac:dyDescent="0.25">
      <c r="A212" s="11">
        <v>208</v>
      </c>
      <c r="B212" s="12" t="s">
        <v>408</v>
      </c>
      <c r="C212" s="12" t="str">
        <f t="shared" si="3"/>
        <v>140103</v>
      </c>
      <c r="D212" s="12" t="str">
        <f>"14.140103/2024.00719/BC.O."</f>
        <v>14.140103/2024.00719/BC.O.</v>
      </c>
      <c r="E212" s="12" t="str">
        <f>"200880035756"</f>
        <v>200880035756</v>
      </c>
      <c r="F212" s="12" t="str">
        <f>"UNIDAD/DE VITRECTOMIA"</f>
        <v>UNIDAD/DE VITRECTOMIA</v>
      </c>
      <c r="G212" s="12" t="s">
        <v>19</v>
      </c>
      <c r="H212" s="12" t="s">
        <v>20</v>
      </c>
      <c r="I212" s="12">
        <v>1</v>
      </c>
      <c r="J212" s="12" t="s">
        <v>21</v>
      </c>
      <c r="K212" s="12" t="s">
        <v>22</v>
      </c>
      <c r="L212" s="13">
        <v>50</v>
      </c>
    </row>
    <row r="213" spans="1:12" s="10" customFormat="1" ht="18" x14ac:dyDescent="0.25">
      <c r="A213" s="11">
        <v>209</v>
      </c>
      <c r="B213" s="12" t="s">
        <v>408</v>
      </c>
      <c r="C213" s="12" t="str">
        <f t="shared" si="3"/>
        <v>140103</v>
      </c>
      <c r="D213" s="12" t="str">
        <f>"14.140103/2024.00717/BC.O."</f>
        <v>14.140103/2024.00717/BC.O.</v>
      </c>
      <c r="E213" s="12" t="str">
        <f>"201900001197"</f>
        <v>201900001197</v>
      </c>
      <c r="F213" s="12" t="str">
        <f>"SILLA/PLEGADIZA"</f>
        <v>SILLA/PLEGADIZA</v>
      </c>
      <c r="G213" s="12" t="s">
        <v>19</v>
      </c>
      <c r="H213" s="12" t="s">
        <v>20</v>
      </c>
      <c r="I213" s="12">
        <v>1</v>
      </c>
      <c r="J213" s="12" t="s">
        <v>21</v>
      </c>
      <c r="K213" s="12" t="s">
        <v>22</v>
      </c>
      <c r="L213" s="13">
        <v>25</v>
      </c>
    </row>
    <row r="214" spans="1:12" s="10" customFormat="1" ht="18" x14ac:dyDescent="0.25">
      <c r="A214" s="11">
        <v>210</v>
      </c>
      <c r="B214" s="12" t="s">
        <v>409</v>
      </c>
      <c r="C214" s="12" t="str">
        <f t="shared" ref="C214:C275" si="5">"140204"</f>
        <v>140204</v>
      </c>
      <c r="D214" s="12" t="str">
        <f>"14.140204/2024.00653/BC.I."</f>
        <v>14.140204/2024.00653/BC.I.</v>
      </c>
      <c r="E214" s="12" t="str">
        <f>"201080033817"</f>
        <v>201080033817</v>
      </c>
      <c r="F214" s="12" t="str">
        <f t="shared" ref="F214:F225" si="6">"COMPUTADORA/MICROCOMPUTADORA"</f>
        <v>COMPUTADORA/MICROCOMPUTADORA</v>
      </c>
      <c r="G214" s="12" t="s">
        <v>19</v>
      </c>
      <c r="H214" s="12" t="s">
        <v>20</v>
      </c>
      <c r="I214" s="12">
        <v>1</v>
      </c>
      <c r="J214" s="12" t="s">
        <v>21</v>
      </c>
      <c r="K214" s="12" t="s">
        <v>22</v>
      </c>
      <c r="L214" s="13">
        <v>35</v>
      </c>
    </row>
    <row r="215" spans="1:12" s="10" customFormat="1" ht="18" x14ac:dyDescent="0.25">
      <c r="A215" s="11">
        <v>211</v>
      </c>
      <c r="B215" s="12" t="s">
        <v>409</v>
      </c>
      <c r="C215" s="12" t="str">
        <f t="shared" si="5"/>
        <v>140204</v>
      </c>
      <c r="D215" s="12" t="str">
        <f>"14.140204/2024.00701/BC.I."</f>
        <v>14.140204/2024.00701/BC.I.</v>
      </c>
      <c r="E215" s="12" t="str">
        <f>"201080033824"</f>
        <v>201080033824</v>
      </c>
      <c r="F215" s="12" t="str">
        <f t="shared" si="6"/>
        <v>COMPUTADORA/MICROCOMPUTADORA</v>
      </c>
      <c r="G215" s="12" t="s">
        <v>19</v>
      </c>
      <c r="H215" s="12" t="s">
        <v>20</v>
      </c>
      <c r="I215" s="12">
        <v>1</v>
      </c>
      <c r="J215" s="12" t="s">
        <v>21</v>
      </c>
      <c r="K215" s="12" t="s">
        <v>22</v>
      </c>
      <c r="L215" s="13">
        <v>35</v>
      </c>
    </row>
    <row r="216" spans="1:12" s="10" customFormat="1" ht="18" x14ac:dyDescent="0.25">
      <c r="A216" s="11">
        <v>212</v>
      </c>
      <c r="B216" s="12" t="s">
        <v>409</v>
      </c>
      <c r="C216" s="12" t="str">
        <f t="shared" si="5"/>
        <v>140204</v>
      </c>
      <c r="D216" s="12" t="str">
        <f>"14.140204/2024.00689/BC.I."</f>
        <v>14.140204/2024.00689/BC.I.</v>
      </c>
      <c r="E216" s="12" t="str">
        <f>"201080033838"</f>
        <v>201080033838</v>
      </c>
      <c r="F216" s="12" t="str">
        <f t="shared" si="6"/>
        <v>COMPUTADORA/MICROCOMPUTADORA</v>
      </c>
      <c r="G216" s="12" t="s">
        <v>19</v>
      </c>
      <c r="H216" s="12" t="s">
        <v>20</v>
      </c>
      <c r="I216" s="12">
        <v>1</v>
      </c>
      <c r="J216" s="12" t="s">
        <v>21</v>
      </c>
      <c r="K216" s="12" t="s">
        <v>22</v>
      </c>
      <c r="L216" s="13">
        <v>35</v>
      </c>
    </row>
    <row r="217" spans="1:12" s="10" customFormat="1" ht="18" x14ac:dyDescent="0.25">
      <c r="A217" s="11">
        <v>213</v>
      </c>
      <c r="B217" s="12" t="s">
        <v>409</v>
      </c>
      <c r="C217" s="12" t="str">
        <f t="shared" si="5"/>
        <v>140204</v>
      </c>
      <c r="D217" s="12" t="str">
        <f>"14.140204/2024.00660/BC.I."</f>
        <v>14.140204/2024.00660/BC.I.</v>
      </c>
      <c r="E217" s="12" t="str">
        <f>"201080033847"</f>
        <v>201080033847</v>
      </c>
      <c r="F217" s="12" t="str">
        <f t="shared" si="6"/>
        <v>COMPUTADORA/MICROCOMPUTADORA</v>
      </c>
      <c r="G217" s="12" t="s">
        <v>19</v>
      </c>
      <c r="H217" s="12" t="s">
        <v>20</v>
      </c>
      <c r="I217" s="12">
        <v>1</v>
      </c>
      <c r="J217" s="12" t="s">
        <v>21</v>
      </c>
      <c r="K217" s="12" t="s">
        <v>22</v>
      </c>
      <c r="L217" s="13">
        <v>35</v>
      </c>
    </row>
    <row r="218" spans="1:12" s="10" customFormat="1" ht="18" x14ac:dyDescent="0.25">
      <c r="A218" s="11">
        <v>214</v>
      </c>
      <c r="B218" s="12" t="s">
        <v>409</v>
      </c>
      <c r="C218" s="12" t="str">
        <f t="shared" si="5"/>
        <v>140204</v>
      </c>
      <c r="D218" s="12" t="str">
        <f>"14.140204/2024.00695/BC.I."</f>
        <v>14.140204/2024.00695/BC.I.</v>
      </c>
      <c r="E218" s="12" t="str">
        <f>"201080033923"</f>
        <v>201080033923</v>
      </c>
      <c r="F218" s="12" t="str">
        <f t="shared" si="6"/>
        <v>COMPUTADORA/MICROCOMPUTADORA</v>
      </c>
      <c r="G218" s="12" t="s">
        <v>19</v>
      </c>
      <c r="H218" s="12" t="s">
        <v>20</v>
      </c>
      <c r="I218" s="12">
        <v>1</v>
      </c>
      <c r="J218" s="12" t="s">
        <v>21</v>
      </c>
      <c r="K218" s="12" t="s">
        <v>22</v>
      </c>
      <c r="L218" s="13">
        <v>35</v>
      </c>
    </row>
    <row r="219" spans="1:12" s="10" customFormat="1" ht="18" x14ac:dyDescent="0.25">
      <c r="A219" s="11">
        <v>215</v>
      </c>
      <c r="B219" s="12" t="s">
        <v>409</v>
      </c>
      <c r="C219" s="12" t="str">
        <f t="shared" si="5"/>
        <v>140204</v>
      </c>
      <c r="D219" s="12" t="str">
        <f>"14.140204/2024.00644/BC.I."</f>
        <v>14.140204/2024.00644/BC.I.</v>
      </c>
      <c r="E219" s="12" t="str">
        <f>"201080033935"</f>
        <v>201080033935</v>
      </c>
      <c r="F219" s="12" t="str">
        <f t="shared" si="6"/>
        <v>COMPUTADORA/MICROCOMPUTADORA</v>
      </c>
      <c r="G219" s="12" t="s">
        <v>19</v>
      </c>
      <c r="H219" s="12" t="s">
        <v>20</v>
      </c>
      <c r="I219" s="12">
        <v>1</v>
      </c>
      <c r="J219" s="12" t="s">
        <v>21</v>
      </c>
      <c r="K219" s="12" t="s">
        <v>22</v>
      </c>
      <c r="L219" s="13">
        <v>35</v>
      </c>
    </row>
    <row r="220" spans="1:12" s="10" customFormat="1" ht="18" x14ac:dyDescent="0.25">
      <c r="A220" s="11">
        <v>216</v>
      </c>
      <c r="B220" s="12" t="s">
        <v>409</v>
      </c>
      <c r="C220" s="12" t="str">
        <f t="shared" si="5"/>
        <v>140204</v>
      </c>
      <c r="D220" s="12" t="str">
        <f>"14.140204/2024.00651/BC.I."</f>
        <v>14.140204/2024.00651/BC.I.</v>
      </c>
      <c r="E220" s="12" t="str">
        <f>"201080034006"</f>
        <v>201080034006</v>
      </c>
      <c r="F220" s="12" t="str">
        <f t="shared" si="6"/>
        <v>COMPUTADORA/MICROCOMPUTADORA</v>
      </c>
      <c r="G220" s="12" t="s">
        <v>19</v>
      </c>
      <c r="H220" s="12" t="s">
        <v>20</v>
      </c>
      <c r="I220" s="12">
        <v>1</v>
      </c>
      <c r="J220" s="12" t="s">
        <v>21</v>
      </c>
      <c r="K220" s="12" t="s">
        <v>22</v>
      </c>
      <c r="L220" s="13">
        <v>35</v>
      </c>
    </row>
    <row r="221" spans="1:12" s="10" customFormat="1" ht="18" x14ac:dyDescent="0.25">
      <c r="A221" s="11">
        <v>217</v>
      </c>
      <c r="B221" s="12" t="s">
        <v>409</v>
      </c>
      <c r="C221" s="12" t="str">
        <f t="shared" si="5"/>
        <v>140204</v>
      </c>
      <c r="D221" s="12" t="str">
        <f>"14.140204/2024.00645/BC.I."</f>
        <v>14.140204/2024.00645/BC.I.</v>
      </c>
      <c r="E221" s="12" t="str">
        <f>"201080034013"</f>
        <v>201080034013</v>
      </c>
      <c r="F221" s="12" t="str">
        <f t="shared" si="6"/>
        <v>COMPUTADORA/MICROCOMPUTADORA</v>
      </c>
      <c r="G221" s="12" t="s">
        <v>19</v>
      </c>
      <c r="H221" s="12" t="s">
        <v>20</v>
      </c>
      <c r="I221" s="12">
        <v>1</v>
      </c>
      <c r="J221" s="12" t="s">
        <v>21</v>
      </c>
      <c r="K221" s="12" t="s">
        <v>22</v>
      </c>
      <c r="L221" s="13">
        <v>35</v>
      </c>
    </row>
    <row r="222" spans="1:12" s="10" customFormat="1" ht="18" x14ac:dyDescent="0.25">
      <c r="A222" s="11">
        <v>218</v>
      </c>
      <c r="B222" s="12" t="s">
        <v>409</v>
      </c>
      <c r="C222" s="12" t="str">
        <f t="shared" si="5"/>
        <v>140204</v>
      </c>
      <c r="D222" s="12" t="str">
        <f>"14.140204/2024.00696/BC.I."</f>
        <v>14.140204/2024.00696/BC.I.</v>
      </c>
      <c r="E222" s="12" t="str">
        <f>"201080034014"</f>
        <v>201080034014</v>
      </c>
      <c r="F222" s="12" t="str">
        <f t="shared" si="6"/>
        <v>COMPUTADORA/MICROCOMPUTADORA</v>
      </c>
      <c r="G222" s="12" t="s">
        <v>19</v>
      </c>
      <c r="H222" s="12" t="s">
        <v>20</v>
      </c>
      <c r="I222" s="12">
        <v>1</v>
      </c>
      <c r="J222" s="12" t="s">
        <v>21</v>
      </c>
      <c r="K222" s="12" t="s">
        <v>22</v>
      </c>
      <c r="L222" s="13">
        <v>35</v>
      </c>
    </row>
    <row r="223" spans="1:12" s="10" customFormat="1" ht="18" x14ac:dyDescent="0.25">
      <c r="A223" s="11">
        <v>219</v>
      </c>
      <c r="B223" s="12" t="s">
        <v>409</v>
      </c>
      <c r="C223" s="12" t="str">
        <f t="shared" si="5"/>
        <v>140204</v>
      </c>
      <c r="D223" s="12" t="str">
        <f>"14.140204/2024.00702/BC.I."</f>
        <v>14.140204/2024.00702/BC.I.</v>
      </c>
      <c r="E223" s="12" t="str">
        <f>"201080034155"</f>
        <v>201080034155</v>
      </c>
      <c r="F223" s="12" t="str">
        <f t="shared" si="6"/>
        <v>COMPUTADORA/MICROCOMPUTADORA</v>
      </c>
      <c r="G223" s="12" t="s">
        <v>19</v>
      </c>
      <c r="H223" s="12" t="s">
        <v>20</v>
      </c>
      <c r="I223" s="12">
        <v>1</v>
      </c>
      <c r="J223" s="12" t="s">
        <v>21</v>
      </c>
      <c r="K223" s="12" t="s">
        <v>22</v>
      </c>
      <c r="L223" s="13">
        <v>35</v>
      </c>
    </row>
    <row r="224" spans="1:12" s="10" customFormat="1" ht="18" x14ac:dyDescent="0.25">
      <c r="A224" s="11">
        <v>220</v>
      </c>
      <c r="B224" s="12" t="s">
        <v>409</v>
      </c>
      <c r="C224" s="12" t="str">
        <f t="shared" si="5"/>
        <v>140204</v>
      </c>
      <c r="D224" s="12" t="str">
        <f>"14.140204/2024.00650/BC.I."</f>
        <v>14.140204/2024.00650/BC.I.</v>
      </c>
      <c r="E224" s="12" t="str">
        <f>"201080034217"</f>
        <v>201080034217</v>
      </c>
      <c r="F224" s="12" t="str">
        <f t="shared" si="6"/>
        <v>COMPUTADORA/MICROCOMPUTADORA</v>
      </c>
      <c r="G224" s="12" t="s">
        <v>19</v>
      </c>
      <c r="H224" s="12" t="s">
        <v>20</v>
      </c>
      <c r="I224" s="12">
        <v>1</v>
      </c>
      <c r="J224" s="12" t="s">
        <v>21</v>
      </c>
      <c r="K224" s="12" t="s">
        <v>22</v>
      </c>
      <c r="L224" s="13">
        <v>35</v>
      </c>
    </row>
    <row r="225" spans="1:12" s="10" customFormat="1" ht="18" x14ac:dyDescent="0.25">
      <c r="A225" s="11">
        <v>221</v>
      </c>
      <c r="B225" s="12" t="s">
        <v>409</v>
      </c>
      <c r="C225" s="12" t="str">
        <f t="shared" si="5"/>
        <v>140204</v>
      </c>
      <c r="D225" s="12" t="str">
        <f>"14.140204/2024.00693/BC.I."</f>
        <v>14.140204/2024.00693/BC.I.</v>
      </c>
      <c r="E225" s="12" t="str">
        <f>"201080034218"</f>
        <v>201080034218</v>
      </c>
      <c r="F225" s="12" t="str">
        <f t="shared" si="6"/>
        <v>COMPUTADORA/MICROCOMPUTADORA</v>
      </c>
      <c r="G225" s="12" t="s">
        <v>19</v>
      </c>
      <c r="H225" s="12" t="s">
        <v>20</v>
      </c>
      <c r="I225" s="12">
        <v>1</v>
      </c>
      <c r="J225" s="12" t="s">
        <v>21</v>
      </c>
      <c r="K225" s="12" t="s">
        <v>22</v>
      </c>
      <c r="L225" s="13">
        <v>35</v>
      </c>
    </row>
    <row r="226" spans="1:12" s="10" customFormat="1" ht="18" x14ac:dyDescent="0.25">
      <c r="A226" s="11">
        <v>222</v>
      </c>
      <c r="B226" s="12" t="s">
        <v>409</v>
      </c>
      <c r="C226" s="12" t="str">
        <f t="shared" si="5"/>
        <v>140204</v>
      </c>
      <c r="D226" s="12" t="str">
        <f>"14.140204/2024.00703/BC.I."</f>
        <v>14.140204/2024.00703/BC.I.</v>
      </c>
      <c r="E226" s="12" t="str">
        <f>"201080044268"</f>
        <v>201080044268</v>
      </c>
      <c r="F226" s="12" t="str">
        <f>"SISTEMA DE CORRIENTE/ININTERRUMPIDA"</f>
        <v>SISTEMA DE CORRIENTE/ININTERRUMPIDA</v>
      </c>
      <c r="G226" s="12" t="s">
        <v>19</v>
      </c>
      <c r="H226" s="12" t="s">
        <v>20</v>
      </c>
      <c r="I226" s="12">
        <v>1</v>
      </c>
      <c r="J226" s="12" t="s">
        <v>21</v>
      </c>
      <c r="K226" s="12" t="s">
        <v>22</v>
      </c>
      <c r="L226" s="13">
        <v>35</v>
      </c>
    </row>
    <row r="227" spans="1:12" s="10" customFormat="1" ht="18" x14ac:dyDescent="0.25">
      <c r="A227" s="11">
        <v>223</v>
      </c>
      <c r="B227" s="12" t="s">
        <v>409</v>
      </c>
      <c r="C227" s="12" t="str">
        <f t="shared" si="5"/>
        <v>140204</v>
      </c>
      <c r="D227" s="12" t="str">
        <f>"14.140204/2024.00697/BC.I."</f>
        <v>14.140204/2024.00697/BC.I.</v>
      </c>
      <c r="E227" s="12" t="str">
        <f>"201080053562"</f>
        <v>201080053562</v>
      </c>
      <c r="F227" s="12" t="str">
        <f t="shared" ref="F227:F236" si="7">"COMPUTADORA/MICROCOMPUTADORA"</f>
        <v>COMPUTADORA/MICROCOMPUTADORA</v>
      </c>
      <c r="G227" s="12" t="s">
        <v>19</v>
      </c>
      <c r="H227" s="12" t="s">
        <v>20</v>
      </c>
      <c r="I227" s="12">
        <v>1</v>
      </c>
      <c r="J227" s="12" t="s">
        <v>21</v>
      </c>
      <c r="K227" s="12" t="s">
        <v>22</v>
      </c>
      <c r="L227" s="13">
        <v>35</v>
      </c>
    </row>
    <row r="228" spans="1:12" s="10" customFormat="1" ht="18" x14ac:dyDescent="0.25">
      <c r="A228" s="11">
        <v>224</v>
      </c>
      <c r="B228" s="12" t="s">
        <v>409</v>
      </c>
      <c r="C228" s="12" t="str">
        <f t="shared" si="5"/>
        <v>140204</v>
      </c>
      <c r="D228" s="12" t="str">
        <f>"14.140204/2024.00698/BC.I."</f>
        <v>14.140204/2024.00698/BC.I.</v>
      </c>
      <c r="E228" s="12" t="str">
        <f>"201080053564"</f>
        <v>201080053564</v>
      </c>
      <c r="F228" s="12" t="str">
        <f t="shared" si="7"/>
        <v>COMPUTADORA/MICROCOMPUTADORA</v>
      </c>
      <c r="G228" s="12" t="s">
        <v>19</v>
      </c>
      <c r="H228" s="12" t="s">
        <v>20</v>
      </c>
      <c r="I228" s="12">
        <v>1</v>
      </c>
      <c r="J228" s="12" t="s">
        <v>21</v>
      </c>
      <c r="K228" s="12" t="s">
        <v>22</v>
      </c>
      <c r="L228" s="13">
        <v>35</v>
      </c>
    </row>
    <row r="229" spans="1:12" s="10" customFormat="1" ht="18" x14ac:dyDescent="0.25">
      <c r="A229" s="11">
        <v>225</v>
      </c>
      <c r="B229" s="12" t="s">
        <v>409</v>
      </c>
      <c r="C229" s="12" t="str">
        <f t="shared" si="5"/>
        <v>140204</v>
      </c>
      <c r="D229" s="12" t="str">
        <f>"14.140204/2024.00704/BC.I."</f>
        <v>14.140204/2024.00704/BC.I.</v>
      </c>
      <c r="E229" s="12" t="str">
        <f>"201080053581"</f>
        <v>201080053581</v>
      </c>
      <c r="F229" s="12" t="str">
        <f t="shared" si="7"/>
        <v>COMPUTADORA/MICROCOMPUTADORA</v>
      </c>
      <c r="G229" s="12" t="s">
        <v>19</v>
      </c>
      <c r="H229" s="12" t="s">
        <v>20</v>
      </c>
      <c r="I229" s="12">
        <v>1</v>
      </c>
      <c r="J229" s="12" t="s">
        <v>21</v>
      </c>
      <c r="K229" s="12" t="s">
        <v>22</v>
      </c>
      <c r="L229" s="13">
        <v>35</v>
      </c>
    </row>
    <row r="230" spans="1:12" s="10" customFormat="1" ht="18" x14ac:dyDescent="0.25">
      <c r="A230" s="11">
        <v>226</v>
      </c>
      <c r="B230" s="12" t="s">
        <v>409</v>
      </c>
      <c r="C230" s="12" t="str">
        <f t="shared" si="5"/>
        <v>140204</v>
      </c>
      <c r="D230" s="12" t="str">
        <f>"14.140204/2024.00699/BC.I."</f>
        <v>14.140204/2024.00699/BC.I.</v>
      </c>
      <c r="E230" s="12" t="str">
        <f>"201080053621"</f>
        <v>201080053621</v>
      </c>
      <c r="F230" s="12" t="str">
        <f t="shared" si="7"/>
        <v>COMPUTADORA/MICROCOMPUTADORA</v>
      </c>
      <c r="G230" s="12" t="s">
        <v>19</v>
      </c>
      <c r="H230" s="12" t="s">
        <v>20</v>
      </c>
      <c r="I230" s="12">
        <v>1</v>
      </c>
      <c r="J230" s="12" t="s">
        <v>21</v>
      </c>
      <c r="K230" s="12" t="s">
        <v>22</v>
      </c>
      <c r="L230" s="13">
        <v>35</v>
      </c>
    </row>
    <row r="231" spans="1:12" s="10" customFormat="1" ht="18" x14ac:dyDescent="0.25">
      <c r="A231" s="11">
        <v>227</v>
      </c>
      <c r="B231" s="12" t="s">
        <v>409</v>
      </c>
      <c r="C231" s="12" t="str">
        <f t="shared" si="5"/>
        <v>140204</v>
      </c>
      <c r="D231" s="12" t="str">
        <f>"14.140204/2024.00705/BC.I."</f>
        <v>14.140204/2024.00705/BC.I.</v>
      </c>
      <c r="E231" s="12" t="str">
        <f>"201080053758"</f>
        <v>201080053758</v>
      </c>
      <c r="F231" s="12" t="str">
        <f t="shared" si="7"/>
        <v>COMPUTADORA/MICROCOMPUTADORA</v>
      </c>
      <c r="G231" s="12" t="s">
        <v>19</v>
      </c>
      <c r="H231" s="12" t="s">
        <v>20</v>
      </c>
      <c r="I231" s="12">
        <v>1</v>
      </c>
      <c r="J231" s="12" t="s">
        <v>21</v>
      </c>
      <c r="K231" s="12" t="s">
        <v>22</v>
      </c>
      <c r="L231" s="13">
        <v>35</v>
      </c>
    </row>
    <row r="232" spans="1:12" s="10" customFormat="1" ht="18" x14ac:dyDescent="0.25">
      <c r="A232" s="11">
        <v>228</v>
      </c>
      <c r="B232" s="12" t="s">
        <v>409</v>
      </c>
      <c r="C232" s="12" t="str">
        <f t="shared" si="5"/>
        <v>140204</v>
      </c>
      <c r="D232" s="12" t="str">
        <f>"14.140204/2024.00652/BC.I."</f>
        <v>14.140204/2024.00652/BC.I.</v>
      </c>
      <c r="E232" s="12" t="str">
        <f>"201080053837"</f>
        <v>201080053837</v>
      </c>
      <c r="F232" s="12" t="str">
        <f t="shared" si="7"/>
        <v>COMPUTADORA/MICROCOMPUTADORA</v>
      </c>
      <c r="G232" s="12" t="s">
        <v>19</v>
      </c>
      <c r="H232" s="12" t="s">
        <v>20</v>
      </c>
      <c r="I232" s="12">
        <v>1</v>
      </c>
      <c r="J232" s="12" t="s">
        <v>21</v>
      </c>
      <c r="K232" s="12" t="s">
        <v>22</v>
      </c>
      <c r="L232" s="13">
        <v>35</v>
      </c>
    </row>
    <row r="233" spans="1:12" s="10" customFormat="1" ht="18" x14ac:dyDescent="0.25">
      <c r="A233" s="11">
        <v>229</v>
      </c>
      <c r="B233" s="12" t="s">
        <v>409</v>
      </c>
      <c r="C233" s="12" t="str">
        <f t="shared" si="5"/>
        <v>140204</v>
      </c>
      <c r="D233" s="12" t="str">
        <f>"14.140204/2024.00694/BC.I."</f>
        <v>14.140204/2024.00694/BC.I.</v>
      </c>
      <c r="E233" s="12" t="str">
        <f>"201080060073"</f>
        <v>201080060073</v>
      </c>
      <c r="F233" s="12" t="str">
        <f t="shared" si="7"/>
        <v>COMPUTADORA/MICROCOMPUTADORA</v>
      </c>
      <c r="G233" s="12" t="s">
        <v>19</v>
      </c>
      <c r="H233" s="12" t="s">
        <v>20</v>
      </c>
      <c r="I233" s="12">
        <v>1</v>
      </c>
      <c r="J233" s="12" t="s">
        <v>21</v>
      </c>
      <c r="K233" s="12" t="s">
        <v>22</v>
      </c>
      <c r="L233" s="13">
        <v>35</v>
      </c>
    </row>
    <row r="234" spans="1:12" s="10" customFormat="1" ht="18" x14ac:dyDescent="0.25">
      <c r="A234" s="11">
        <v>230</v>
      </c>
      <c r="B234" s="12" t="s">
        <v>409</v>
      </c>
      <c r="C234" s="12" t="str">
        <f t="shared" si="5"/>
        <v>140204</v>
      </c>
      <c r="D234" s="12" t="str">
        <f>"14.140204/2024.00665/BC.I."</f>
        <v>14.140204/2024.00665/BC.I.</v>
      </c>
      <c r="E234" s="12" t="str">
        <f>"201080075945"</f>
        <v>201080075945</v>
      </c>
      <c r="F234" s="12" t="str">
        <f t="shared" si="7"/>
        <v>COMPUTADORA/MICROCOMPUTADORA</v>
      </c>
      <c r="G234" s="12" t="s">
        <v>19</v>
      </c>
      <c r="H234" s="12" t="s">
        <v>20</v>
      </c>
      <c r="I234" s="12">
        <v>1</v>
      </c>
      <c r="J234" s="12" t="s">
        <v>21</v>
      </c>
      <c r="K234" s="12" t="s">
        <v>22</v>
      </c>
      <c r="L234" s="13">
        <v>35</v>
      </c>
    </row>
    <row r="235" spans="1:12" s="10" customFormat="1" ht="18" x14ac:dyDescent="0.25">
      <c r="A235" s="11">
        <v>231</v>
      </c>
      <c r="B235" s="12" t="s">
        <v>409</v>
      </c>
      <c r="C235" s="12" t="str">
        <f t="shared" si="5"/>
        <v>140204</v>
      </c>
      <c r="D235" s="12" t="str">
        <f>"14.140204/2024.00688/BC.I."</f>
        <v>14.140204/2024.00688/BC.I.</v>
      </c>
      <c r="E235" s="12" t="str">
        <f>"201080077549"</f>
        <v>201080077549</v>
      </c>
      <c r="F235" s="12" t="str">
        <f t="shared" si="7"/>
        <v>COMPUTADORA/MICROCOMPUTADORA</v>
      </c>
      <c r="G235" s="12" t="s">
        <v>19</v>
      </c>
      <c r="H235" s="12" t="s">
        <v>20</v>
      </c>
      <c r="I235" s="12">
        <v>1</v>
      </c>
      <c r="J235" s="12" t="s">
        <v>21</v>
      </c>
      <c r="K235" s="12" t="s">
        <v>22</v>
      </c>
      <c r="L235" s="13">
        <v>35</v>
      </c>
    </row>
    <row r="236" spans="1:12" s="10" customFormat="1" ht="18" x14ac:dyDescent="0.25">
      <c r="A236" s="11">
        <v>232</v>
      </c>
      <c r="B236" s="12" t="s">
        <v>409</v>
      </c>
      <c r="C236" s="12" t="str">
        <f t="shared" si="5"/>
        <v>140204</v>
      </c>
      <c r="D236" s="12" t="str">
        <f>"14.140204/2024.00700/BC.I."</f>
        <v>14.140204/2024.00700/BC.I.</v>
      </c>
      <c r="E236" s="12" t="str">
        <f>"201180011168"</f>
        <v>201180011168</v>
      </c>
      <c r="F236" s="12" t="str">
        <f t="shared" si="7"/>
        <v>COMPUTADORA/MICROCOMPUTADORA</v>
      </c>
      <c r="G236" s="12" t="s">
        <v>19</v>
      </c>
      <c r="H236" s="12" t="s">
        <v>20</v>
      </c>
      <c r="I236" s="12">
        <v>1</v>
      </c>
      <c r="J236" s="12" t="s">
        <v>21</v>
      </c>
      <c r="K236" s="12" t="s">
        <v>22</v>
      </c>
      <c r="L236" s="13">
        <v>35</v>
      </c>
    </row>
    <row r="237" spans="1:12" s="10" customFormat="1" ht="18" x14ac:dyDescent="0.25">
      <c r="A237" s="11">
        <v>233</v>
      </c>
      <c r="B237" s="12" t="s">
        <v>409</v>
      </c>
      <c r="C237" s="12" t="str">
        <f t="shared" si="5"/>
        <v>140204</v>
      </c>
      <c r="D237" s="12" t="str">
        <f>"14.140204/2024.00690/BC.I."</f>
        <v>14.140204/2024.00690/BC.I.</v>
      </c>
      <c r="E237" s="12" t="str">
        <f>"201180020872"</f>
        <v>201180020872</v>
      </c>
      <c r="F237" s="12" t="str">
        <f>"SWITCHER/MANUAL"</f>
        <v>SWITCHER/MANUAL</v>
      </c>
      <c r="G237" s="12" t="s">
        <v>19</v>
      </c>
      <c r="H237" s="12" t="s">
        <v>20</v>
      </c>
      <c r="I237" s="12">
        <v>1</v>
      </c>
      <c r="J237" s="12" t="s">
        <v>21</v>
      </c>
      <c r="K237" s="12" t="s">
        <v>22</v>
      </c>
      <c r="L237" s="13">
        <v>10</v>
      </c>
    </row>
    <row r="238" spans="1:12" s="10" customFormat="1" ht="18" x14ac:dyDescent="0.25">
      <c r="A238" s="11">
        <v>234</v>
      </c>
      <c r="B238" s="12" t="s">
        <v>409</v>
      </c>
      <c r="C238" s="12" t="str">
        <f t="shared" si="5"/>
        <v>140204</v>
      </c>
      <c r="D238" s="12" t="str">
        <f>"14.140204/2024.00681/BC.O."</f>
        <v>14.140204/2024.00681/BC.O.</v>
      </c>
      <c r="E238" s="12" t="str">
        <f>"1981120626"</f>
        <v>1981120626</v>
      </c>
      <c r="F238" s="12" t="str">
        <f>"DESTILADOR/DE AGUA, AUTOMATICO"</f>
        <v>DESTILADOR/DE AGUA, AUTOMATICO</v>
      </c>
      <c r="G238" s="12" t="s">
        <v>19</v>
      </c>
      <c r="H238" s="12" t="s">
        <v>20</v>
      </c>
      <c r="I238" s="12">
        <v>1</v>
      </c>
      <c r="J238" s="12" t="s">
        <v>21</v>
      </c>
      <c r="K238" s="12" t="s">
        <v>22</v>
      </c>
      <c r="L238" s="13">
        <v>50</v>
      </c>
    </row>
    <row r="239" spans="1:12" s="10" customFormat="1" ht="18" x14ac:dyDescent="0.25">
      <c r="A239" s="11">
        <v>235</v>
      </c>
      <c r="B239" s="12" t="s">
        <v>409</v>
      </c>
      <c r="C239" s="12" t="str">
        <f t="shared" si="5"/>
        <v>140204</v>
      </c>
      <c r="D239" s="12" t="str">
        <f>"14.140204/2024.00666/BC.O."</f>
        <v>14.140204/2024.00666/BC.O.</v>
      </c>
      <c r="E239" s="12" t="str">
        <f>"1985021600"</f>
        <v>1985021600</v>
      </c>
      <c r="F239" s="12" t="str">
        <f>"REFRIGERADOR/VERTICAL"</f>
        <v>REFRIGERADOR/VERTICAL</v>
      </c>
      <c r="G239" s="12" t="s">
        <v>19</v>
      </c>
      <c r="H239" s="12" t="s">
        <v>20</v>
      </c>
      <c r="I239" s="12">
        <v>1</v>
      </c>
      <c r="J239" s="12" t="s">
        <v>21</v>
      </c>
      <c r="K239" s="12" t="s">
        <v>22</v>
      </c>
      <c r="L239" s="13">
        <v>80</v>
      </c>
    </row>
    <row r="240" spans="1:12" s="10" customFormat="1" ht="18" x14ac:dyDescent="0.25">
      <c r="A240" s="11">
        <v>236</v>
      </c>
      <c r="B240" s="12" t="s">
        <v>409</v>
      </c>
      <c r="C240" s="12" t="str">
        <f t="shared" si="5"/>
        <v>140204</v>
      </c>
      <c r="D240" s="12" t="str">
        <f>"14.140204/2024.00679/BC.O."</f>
        <v>14.140204/2024.00679/BC.O.</v>
      </c>
      <c r="E240" s="12" t="str">
        <f>"1985033463"</f>
        <v>1985033463</v>
      </c>
      <c r="F240" s="12" t="str">
        <f>"MESA/DE TRABAJO CON TARJA CENTRAL MD1 10"</f>
        <v>MESA/DE TRABAJO CON TARJA CENTRAL MD1 10</v>
      </c>
      <c r="G240" s="12" t="s">
        <v>19</v>
      </c>
      <c r="H240" s="12" t="s">
        <v>20</v>
      </c>
      <c r="I240" s="12">
        <v>1</v>
      </c>
      <c r="J240" s="12" t="s">
        <v>21</v>
      </c>
      <c r="K240" s="12" t="s">
        <v>22</v>
      </c>
      <c r="L240" s="13">
        <v>70</v>
      </c>
    </row>
    <row r="241" spans="1:12" s="10" customFormat="1" ht="18" x14ac:dyDescent="0.25">
      <c r="A241" s="11">
        <v>237</v>
      </c>
      <c r="B241" s="12" t="s">
        <v>409</v>
      </c>
      <c r="C241" s="12" t="str">
        <f t="shared" si="5"/>
        <v>140204</v>
      </c>
      <c r="D241" s="12" t="str">
        <f>"14.140204/2024.00677/BC.O."</f>
        <v>14.140204/2024.00677/BC.O.</v>
      </c>
      <c r="E241" s="12" t="str">
        <f>"1985048801"</f>
        <v>1985048801</v>
      </c>
      <c r="F241" s="12" t="str">
        <f>"APARATO DE ANESTESIA/PORTATIL"</f>
        <v>APARATO DE ANESTESIA/PORTATIL</v>
      </c>
      <c r="G241" s="12" t="s">
        <v>19</v>
      </c>
      <c r="H241" s="12" t="s">
        <v>20</v>
      </c>
      <c r="I241" s="12">
        <v>1</v>
      </c>
      <c r="J241" s="12" t="s">
        <v>21</v>
      </c>
      <c r="K241" s="12" t="s">
        <v>22</v>
      </c>
      <c r="L241" s="13">
        <v>250</v>
      </c>
    </row>
    <row r="242" spans="1:12" s="10" customFormat="1" ht="18" x14ac:dyDescent="0.25">
      <c r="A242" s="11">
        <v>238</v>
      </c>
      <c r="B242" s="12" t="s">
        <v>409</v>
      </c>
      <c r="C242" s="12" t="str">
        <f t="shared" si="5"/>
        <v>140204</v>
      </c>
      <c r="D242" s="12" t="str">
        <f>"14.140204/2024.00678/BC.O."</f>
        <v>14.140204/2024.00678/BC.O.</v>
      </c>
      <c r="E242" s="12" t="str">
        <f>"1986022824"</f>
        <v>1986022824</v>
      </c>
      <c r="F242" s="12" t="str">
        <f>"BOMBA/PARA USO MEDICO"</f>
        <v>BOMBA/PARA USO MEDICO</v>
      </c>
      <c r="G242" s="12" t="s">
        <v>19</v>
      </c>
      <c r="H242" s="12" t="s">
        <v>20</v>
      </c>
      <c r="I242" s="12">
        <v>1</v>
      </c>
      <c r="J242" s="12" t="s">
        <v>21</v>
      </c>
      <c r="K242" s="12" t="s">
        <v>22</v>
      </c>
      <c r="L242" s="13">
        <v>35</v>
      </c>
    </row>
    <row r="243" spans="1:12" s="10" customFormat="1" ht="18" x14ac:dyDescent="0.25">
      <c r="A243" s="11">
        <v>239</v>
      </c>
      <c r="B243" s="12" t="s">
        <v>409</v>
      </c>
      <c r="C243" s="12" t="str">
        <f t="shared" si="5"/>
        <v>140204</v>
      </c>
      <c r="D243" s="12" t="str">
        <f>"14.140204/2024.00654/BC.O."</f>
        <v>14.140204/2024.00654/BC.O.</v>
      </c>
      <c r="E243" s="12" t="str">
        <f>"1986035900"</f>
        <v>1986035900</v>
      </c>
      <c r="F243" s="12" t="str">
        <f>"CONTADOR/PARA LABORATORIO"</f>
        <v>CONTADOR/PARA LABORATORIO</v>
      </c>
      <c r="G243" s="12" t="s">
        <v>19</v>
      </c>
      <c r="H243" s="12" t="s">
        <v>20</v>
      </c>
      <c r="I243" s="12">
        <v>1</v>
      </c>
      <c r="J243" s="12" t="s">
        <v>21</v>
      </c>
      <c r="K243" s="12" t="s">
        <v>22</v>
      </c>
      <c r="L243" s="13">
        <v>30</v>
      </c>
    </row>
    <row r="244" spans="1:12" s="10" customFormat="1" ht="18" x14ac:dyDescent="0.25">
      <c r="A244" s="11">
        <v>240</v>
      </c>
      <c r="B244" s="12" t="s">
        <v>409</v>
      </c>
      <c r="C244" s="12" t="str">
        <f t="shared" si="5"/>
        <v>140204</v>
      </c>
      <c r="D244" s="12" t="str">
        <f>"14.140204/2024.00655/BC.O."</f>
        <v>14.140204/2024.00655/BC.O.</v>
      </c>
      <c r="E244" s="12" t="str">
        <f>"1986036402"</f>
        <v>1986036402</v>
      </c>
      <c r="F244" s="12" t="str">
        <f>"CONTADOR/PARA LABORATORIO"</f>
        <v>CONTADOR/PARA LABORATORIO</v>
      </c>
      <c r="G244" s="12" t="s">
        <v>19</v>
      </c>
      <c r="H244" s="12" t="s">
        <v>20</v>
      </c>
      <c r="I244" s="12">
        <v>1</v>
      </c>
      <c r="J244" s="12" t="s">
        <v>21</v>
      </c>
      <c r="K244" s="12" t="s">
        <v>22</v>
      </c>
      <c r="L244" s="13">
        <v>30</v>
      </c>
    </row>
    <row r="245" spans="1:12" s="10" customFormat="1" ht="27" x14ac:dyDescent="0.25">
      <c r="A245" s="11">
        <v>241</v>
      </c>
      <c r="B245" s="12" t="s">
        <v>409</v>
      </c>
      <c r="C245" s="12" t="str">
        <f t="shared" si="5"/>
        <v>140204</v>
      </c>
      <c r="D245" s="12" t="str">
        <f>"14.140204/2024.00648/BC.O."</f>
        <v>14.140204/2024.00648/BC.O.</v>
      </c>
      <c r="E245" s="12" t="str">
        <f>"1986038702"</f>
        <v>1986038702</v>
      </c>
      <c r="F245" s="12" t="str">
        <f>"SIMULADOR DE TRAZOS/DE TRAZOS ELECTROCARDIOGRAFICO"</f>
        <v>SIMULADOR DE TRAZOS/DE TRAZOS ELECTROCARDIOGRAFICO</v>
      </c>
      <c r="G245" s="12" t="s">
        <v>19</v>
      </c>
      <c r="H245" s="12" t="s">
        <v>20</v>
      </c>
      <c r="I245" s="12">
        <v>1</v>
      </c>
      <c r="J245" s="12" t="s">
        <v>21</v>
      </c>
      <c r="K245" s="12" t="s">
        <v>22</v>
      </c>
      <c r="L245" s="13">
        <v>250</v>
      </c>
    </row>
    <row r="246" spans="1:12" s="10" customFormat="1" ht="18" x14ac:dyDescent="0.25">
      <c r="A246" s="11">
        <v>242</v>
      </c>
      <c r="B246" s="12" t="s">
        <v>409</v>
      </c>
      <c r="C246" s="12" t="str">
        <f t="shared" si="5"/>
        <v>140204</v>
      </c>
      <c r="D246" s="12" t="str">
        <f>"14.140204/2024.00661/BC.O."</f>
        <v>14.140204/2024.00661/BC.O.</v>
      </c>
      <c r="E246" s="12" t="str">
        <f>"1987055065"</f>
        <v>1987055065</v>
      </c>
      <c r="F246" s="12" t="str">
        <f>"REFRIGERADOR/VERTICAL"</f>
        <v>REFRIGERADOR/VERTICAL</v>
      </c>
      <c r="G246" s="12" t="s">
        <v>19</v>
      </c>
      <c r="H246" s="12" t="s">
        <v>20</v>
      </c>
      <c r="I246" s="12">
        <v>1</v>
      </c>
      <c r="J246" s="12" t="s">
        <v>21</v>
      </c>
      <c r="K246" s="12" t="s">
        <v>22</v>
      </c>
      <c r="L246" s="13">
        <v>80</v>
      </c>
    </row>
    <row r="247" spans="1:12" s="10" customFormat="1" ht="18" x14ac:dyDescent="0.25">
      <c r="A247" s="11">
        <v>243</v>
      </c>
      <c r="B247" s="12" t="s">
        <v>409</v>
      </c>
      <c r="C247" s="12" t="str">
        <f t="shared" si="5"/>
        <v>140204</v>
      </c>
      <c r="D247" s="12" t="str">
        <f>"14.140204/2024.00668/BC.O."</f>
        <v>14.140204/2024.00668/BC.O.</v>
      </c>
      <c r="E247" s="12" t="str">
        <f>"1988142199"</f>
        <v>1988142199</v>
      </c>
      <c r="F247" s="12" t="str">
        <f>"SUBESTACION/DE INTERCOMUNICACION"</f>
        <v>SUBESTACION/DE INTERCOMUNICACION</v>
      </c>
      <c r="G247" s="12" t="s">
        <v>19</v>
      </c>
      <c r="H247" s="12" t="s">
        <v>20</v>
      </c>
      <c r="I247" s="12">
        <v>1</v>
      </c>
      <c r="J247" s="12" t="s">
        <v>21</v>
      </c>
      <c r="K247" s="12" t="s">
        <v>22</v>
      </c>
      <c r="L247" s="13">
        <v>100</v>
      </c>
    </row>
    <row r="248" spans="1:12" s="10" customFormat="1" ht="18" x14ac:dyDescent="0.25">
      <c r="A248" s="11">
        <v>244</v>
      </c>
      <c r="B248" s="12" t="s">
        <v>409</v>
      </c>
      <c r="C248" s="12" t="str">
        <f t="shared" si="5"/>
        <v>140204</v>
      </c>
      <c r="D248" s="12" t="str">
        <f>"14.140204/2024.00669/BC.O."</f>
        <v>14.140204/2024.00669/BC.O.</v>
      </c>
      <c r="E248" s="12" t="str">
        <f>"1988142200"</f>
        <v>1988142200</v>
      </c>
      <c r="F248" s="12" t="str">
        <f>"SUBESTACION/DE INTERCOMUNICACION"</f>
        <v>SUBESTACION/DE INTERCOMUNICACION</v>
      </c>
      <c r="G248" s="12" t="s">
        <v>19</v>
      </c>
      <c r="H248" s="12" t="s">
        <v>20</v>
      </c>
      <c r="I248" s="12">
        <v>1</v>
      </c>
      <c r="J248" s="12" t="s">
        <v>21</v>
      </c>
      <c r="K248" s="12" t="s">
        <v>22</v>
      </c>
      <c r="L248" s="13">
        <v>100</v>
      </c>
    </row>
    <row r="249" spans="1:12" s="10" customFormat="1" ht="18" x14ac:dyDescent="0.25">
      <c r="A249" s="11">
        <v>245</v>
      </c>
      <c r="B249" s="12" t="s">
        <v>409</v>
      </c>
      <c r="C249" s="12" t="str">
        <f t="shared" si="5"/>
        <v>140204</v>
      </c>
      <c r="D249" s="12" t="str">
        <f>"14.140204/2024.00670/BC.O."</f>
        <v>14.140204/2024.00670/BC.O.</v>
      </c>
      <c r="E249" s="12" t="str">
        <f>"1988142201"</f>
        <v>1988142201</v>
      </c>
      <c r="F249" s="12" t="str">
        <f>"SUBESTACION/DE INTERCOMUNICACION"</f>
        <v>SUBESTACION/DE INTERCOMUNICACION</v>
      </c>
      <c r="G249" s="12" t="s">
        <v>19</v>
      </c>
      <c r="H249" s="12" t="s">
        <v>20</v>
      </c>
      <c r="I249" s="12">
        <v>1</v>
      </c>
      <c r="J249" s="12" t="s">
        <v>21</v>
      </c>
      <c r="K249" s="12" t="s">
        <v>22</v>
      </c>
      <c r="L249" s="13">
        <v>100</v>
      </c>
    </row>
    <row r="250" spans="1:12" s="10" customFormat="1" ht="18" x14ac:dyDescent="0.25">
      <c r="A250" s="11">
        <v>246</v>
      </c>
      <c r="B250" s="12" t="s">
        <v>409</v>
      </c>
      <c r="C250" s="12" t="str">
        <f t="shared" si="5"/>
        <v>140204</v>
      </c>
      <c r="D250" s="12" t="str">
        <f>"14.140204/2024.00646/BC.O."</f>
        <v>14.140204/2024.00646/BC.O.</v>
      </c>
      <c r="E250" s="12" t="str">
        <f>"1990067400"</f>
        <v>1990067400</v>
      </c>
      <c r="F250" s="12" t="str">
        <f>"BANCA/EN VESTIDORES Y BAÑO MODELO MD5-31'"</f>
        <v>BANCA/EN VESTIDORES Y BAÑO MODELO MD5-31'</v>
      </c>
      <c r="G250" s="12" t="s">
        <v>19</v>
      </c>
      <c r="H250" s="12" t="s">
        <v>20</v>
      </c>
      <c r="I250" s="12">
        <v>1</v>
      </c>
      <c r="J250" s="12" t="s">
        <v>21</v>
      </c>
      <c r="K250" s="12" t="s">
        <v>22</v>
      </c>
      <c r="L250" s="13">
        <v>40</v>
      </c>
    </row>
    <row r="251" spans="1:12" s="10" customFormat="1" ht="18" x14ac:dyDescent="0.25">
      <c r="A251" s="11">
        <v>247</v>
      </c>
      <c r="B251" s="12" t="s">
        <v>409</v>
      </c>
      <c r="C251" s="12" t="str">
        <f t="shared" si="5"/>
        <v>140204</v>
      </c>
      <c r="D251" s="12" t="str">
        <f>"14.140204/2024.00687/BC.O."</f>
        <v>14.140204/2024.00687/BC.O.</v>
      </c>
      <c r="E251" s="12" t="str">
        <f>"1990076882"</f>
        <v>1990076882</v>
      </c>
      <c r="F251" s="12" t="str">
        <f>"FOROPTOR/PARA OFTALMOLOGIA"</f>
        <v>FOROPTOR/PARA OFTALMOLOGIA</v>
      </c>
      <c r="G251" s="12" t="s">
        <v>19</v>
      </c>
      <c r="H251" s="12" t="s">
        <v>20</v>
      </c>
      <c r="I251" s="12">
        <v>1</v>
      </c>
      <c r="J251" s="12" t="s">
        <v>21</v>
      </c>
      <c r="K251" s="12" t="s">
        <v>22</v>
      </c>
      <c r="L251" s="13">
        <v>50</v>
      </c>
    </row>
    <row r="252" spans="1:12" s="10" customFormat="1" ht="18" x14ac:dyDescent="0.25">
      <c r="A252" s="11">
        <v>248</v>
      </c>
      <c r="B252" s="12" t="s">
        <v>409</v>
      </c>
      <c r="C252" s="12" t="str">
        <f t="shared" si="5"/>
        <v>140204</v>
      </c>
      <c r="D252" s="12" t="str">
        <f>"14.140204/2024.00662/BC.O."</f>
        <v>14.140204/2024.00662/BC.O.</v>
      </c>
      <c r="E252" s="12" t="str">
        <f>"1990090425"</f>
        <v>1990090425</v>
      </c>
      <c r="F252" s="12" t="str">
        <f>"REFRIGERADOR/VERTICAL"</f>
        <v>REFRIGERADOR/VERTICAL</v>
      </c>
      <c r="G252" s="12" t="s">
        <v>19</v>
      </c>
      <c r="H252" s="12" t="s">
        <v>20</v>
      </c>
      <c r="I252" s="12">
        <v>1</v>
      </c>
      <c r="J252" s="12" t="s">
        <v>21</v>
      </c>
      <c r="K252" s="12" t="s">
        <v>22</v>
      </c>
      <c r="L252" s="13">
        <v>80</v>
      </c>
    </row>
    <row r="253" spans="1:12" s="10" customFormat="1" ht="18" x14ac:dyDescent="0.25">
      <c r="A253" s="11">
        <v>249</v>
      </c>
      <c r="B253" s="12" t="s">
        <v>409</v>
      </c>
      <c r="C253" s="12" t="str">
        <f t="shared" si="5"/>
        <v>140204</v>
      </c>
      <c r="D253" s="12" t="str">
        <f>"14.140204/2024.00663/BC.O."</f>
        <v>14.140204/2024.00663/BC.O.</v>
      </c>
      <c r="E253" s="12" t="str">
        <f>"1993032720"</f>
        <v>1993032720</v>
      </c>
      <c r="F253" s="12" t="str">
        <f>"CARRO/PARA TRANSPORTE DE CHAROLAS"</f>
        <v>CARRO/PARA TRANSPORTE DE CHAROLAS</v>
      </c>
      <c r="G253" s="12" t="s">
        <v>19</v>
      </c>
      <c r="H253" s="12" t="s">
        <v>20</v>
      </c>
      <c r="I253" s="12">
        <v>1</v>
      </c>
      <c r="J253" s="12" t="s">
        <v>21</v>
      </c>
      <c r="K253" s="12" t="s">
        <v>22</v>
      </c>
      <c r="L253" s="13">
        <v>40</v>
      </c>
    </row>
    <row r="254" spans="1:12" s="10" customFormat="1" ht="27" x14ac:dyDescent="0.25">
      <c r="A254" s="11">
        <v>250</v>
      </c>
      <c r="B254" s="12" t="s">
        <v>409</v>
      </c>
      <c r="C254" s="12" t="str">
        <f t="shared" si="5"/>
        <v>140204</v>
      </c>
      <c r="D254" s="12" t="str">
        <f>"14.140204/2024.00658/BC.O."</f>
        <v>14.140204/2024.00658/BC.O.</v>
      </c>
      <c r="E254" s="12" t="str">
        <f>"1995004733"</f>
        <v>1995004733</v>
      </c>
      <c r="F254" s="12" t="str">
        <f>"DELANTAL O MANDIL/PROTECTOR EMPLOMADO PARA RAYOS X"</f>
        <v>DELANTAL O MANDIL/PROTECTOR EMPLOMADO PARA RAYOS X</v>
      </c>
      <c r="G254" s="12" t="s">
        <v>19</v>
      </c>
      <c r="H254" s="12" t="s">
        <v>20</v>
      </c>
      <c r="I254" s="12">
        <v>1</v>
      </c>
      <c r="J254" s="12" t="s">
        <v>21</v>
      </c>
      <c r="K254" s="12" t="s">
        <v>22</v>
      </c>
      <c r="L254" s="13">
        <v>250</v>
      </c>
    </row>
    <row r="255" spans="1:12" s="10" customFormat="1" ht="18" x14ac:dyDescent="0.25">
      <c r="A255" s="11">
        <v>251</v>
      </c>
      <c r="B255" s="12" t="s">
        <v>409</v>
      </c>
      <c r="C255" s="12" t="str">
        <f t="shared" si="5"/>
        <v>140204</v>
      </c>
      <c r="D255" s="12" t="str">
        <f>"14.140204/2024.00664/BC.O."</f>
        <v>14.140204/2024.00664/BC.O.</v>
      </c>
      <c r="E255" s="12" t="str">
        <f>"2000919117"</f>
        <v>2000919117</v>
      </c>
      <c r="F255" s="12" t="str">
        <f>"LICUADORA/INDUSTRIAL"</f>
        <v>LICUADORA/INDUSTRIAL</v>
      </c>
      <c r="G255" s="12" t="s">
        <v>19</v>
      </c>
      <c r="H255" s="12" t="s">
        <v>20</v>
      </c>
      <c r="I255" s="12">
        <v>1</v>
      </c>
      <c r="J255" s="12" t="s">
        <v>21</v>
      </c>
      <c r="K255" s="12" t="s">
        <v>22</v>
      </c>
      <c r="L255" s="13">
        <v>50</v>
      </c>
    </row>
    <row r="256" spans="1:12" s="10" customFormat="1" ht="18" x14ac:dyDescent="0.25">
      <c r="A256" s="11">
        <v>252</v>
      </c>
      <c r="B256" s="12" t="s">
        <v>409</v>
      </c>
      <c r="C256" s="12" t="str">
        <f t="shared" si="5"/>
        <v>140204</v>
      </c>
      <c r="D256" s="12" t="str">
        <f>"14.140204/2024.00671/BC.O."</f>
        <v>14.140204/2024.00671/BC.O.</v>
      </c>
      <c r="E256" s="12" t="str">
        <f>"2001904251"</f>
        <v>2001904251</v>
      </c>
      <c r="F256" s="12" t="str">
        <f>"REANIMADOR/PARA VENTILACION ASISTIDA"</f>
        <v>REANIMADOR/PARA VENTILACION ASISTIDA</v>
      </c>
      <c r="G256" s="12" t="s">
        <v>19</v>
      </c>
      <c r="H256" s="12" t="s">
        <v>20</v>
      </c>
      <c r="I256" s="12">
        <v>1</v>
      </c>
      <c r="J256" s="12" t="s">
        <v>21</v>
      </c>
      <c r="K256" s="12" t="s">
        <v>22</v>
      </c>
      <c r="L256" s="13">
        <v>50</v>
      </c>
    </row>
    <row r="257" spans="1:12" s="10" customFormat="1" ht="18" x14ac:dyDescent="0.25">
      <c r="A257" s="11">
        <v>253</v>
      </c>
      <c r="B257" s="12" t="s">
        <v>409</v>
      </c>
      <c r="C257" s="12" t="str">
        <f t="shared" si="5"/>
        <v>140204</v>
      </c>
      <c r="D257" s="12" t="str">
        <f>"14.140204/2024.00667/BC.O."</f>
        <v>14.140204/2024.00667/BC.O.</v>
      </c>
      <c r="E257" s="12" t="str">
        <f>"2002900184"</f>
        <v>2002900184</v>
      </c>
      <c r="F257" s="12" t="str">
        <f>"VENTILADOR/DE PRESION POSITIVA"</f>
        <v>VENTILADOR/DE PRESION POSITIVA</v>
      </c>
      <c r="G257" s="12" t="s">
        <v>19</v>
      </c>
      <c r="H257" s="12" t="s">
        <v>20</v>
      </c>
      <c r="I257" s="12">
        <v>1</v>
      </c>
      <c r="J257" s="12" t="s">
        <v>21</v>
      </c>
      <c r="K257" s="12" t="s">
        <v>22</v>
      </c>
      <c r="L257" s="13">
        <v>50</v>
      </c>
    </row>
    <row r="258" spans="1:12" s="10" customFormat="1" ht="18" x14ac:dyDescent="0.25">
      <c r="A258" s="11">
        <v>254</v>
      </c>
      <c r="B258" s="12" t="s">
        <v>409</v>
      </c>
      <c r="C258" s="12" t="str">
        <f t="shared" si="5"/>
        <v>140204</v>
      </c>
      <c r="D258" s="12" t="str">
        <f>"14.140204/2024.00680/BC.O."</f>
        <v>14.140204/2024.00680/BC.O.</v>
      </c>
      <c r="E258" s="12" t="str">
        <f>"2002994929"</f>
        <v>2002994929</v>
      </c>
      <c r="F258" s="12" t="str">
        <f>"CARRO/CAMILLA"</f>
        <v>CARRO/CAMILLA</v>
      </c>
      <c r="G258" s="12" t="s">
        <v>19</v>
      </c>
      <c r="H258" s="12" t="s">
        <v>20</v>
      </c>
      <c r="I258" s="12">
        <v>1</v>
      </c>
      <c r="J258" s="12" t="s">
        <v>21</v>
      </c>
      <c r="K258" s="12" t="s">
        <v>22</v>
      </c>
      <c r="L258" s="13">
        <v>100</v>
      </c>
    </row>
    <row r="259" spans="1:12" s="10" customFormat="1" ht="18" x14ac:dyDescent="0.25">
      <c r="A259" s="11">
        <v>255</v>
      </c>
      <c r="B259" s="12" t="s">
        <v>409</v>
      </c>
      <c r="C259" s="12" t="str">
        <f t="shared" si="5"/>
        <v>140204</v>
      </c>
      <c r="D259" s="12" t="str">
        <f>"14.140204/2024.00692/BC.O."</f>
        <v>14.140204/2024.00692/BC.O.</v>
      </c>
      <c r="E259" s="12" t="str">
        <f>"200390002302"</f>
        <v>200390002302</v>
      </c>
      <c r="F259" s="12" t="str">
        <f>"BASCULA/ELECTRONICA"</f>
        <v>BASCULA/ELECTRONICA</v>
      </c>
      <c r="G259" s="12" t="s">
        <v>19</v>
      </c>
      <c r="H259" s="12" t="s">
        <v>20</v>
      </c>
      <c r="I259" s="12">
        <v>1</v>
      </c>
      <c r="J259" s="12" t="s">
        <v>21</v>
      </c>
      <c r="K259" s="12" t="s">
        <v>22</v>
      </c>
      <c r="L259" s="13">
        <v>25</v>
      </c>
    </row>
    <row r="260" spans="1:12" s="10" customFormat="1" ht="18" x14ac:dyDescent="0.25">
      <c r="A260" s="11">
        <v>256</v>
      </c>
      <c r="B260" s="12" t="s">
        <v>409</v>
      </c>
      <c r="C260" s="12" t="str">
        <f t="shared" si="5"/>
        <v>140204</v>
      </c>
      <c r="D260" s="12" t="str">
        <f>"14.140204/2024.00684/BC.O."</f>
        <v>14.140204/2024.00684/BC.O.</v>
      </c>
      <c r="E260" s="12" t="str">
        <f>"200390003684"</f>
        <v>200390003684</v>
      </c>
      <c r="F260" s="12" t="str">
        <f>"BASCULA/ELECTRONICA"</f>
        <v>BASCULA/ELECTRONICA</v>
      </c>
      <c r="G260" s="12" t="s">
        <v>19</v>
      </c>
      <c r="H260" s="12" t="s">
        <v>20</v>
      </c>
      <c r="I260" s="12">
        <v>1</v>
      </c>
      <c r="J260" s="12" t="s">
        <v>21</v>
      </c>
      <c r="K260" s="12" t="s">
        <v>22</v>
      </c>
      <c r="L260" s="13">
        <v>25</v>
      </c>
    </row>
    <row r="261" spans="1:12" s="10" customFormat="1" ht="18" x14ac:dyDescent="0.25">
      <c r="A261" s="11">
        <v>257</v>
      </c>
      <c r="B261" s="12" t="s">
        <v>409</v>
      </c>
      <c r="C261" s="12" t="str">
        <f t="shared" si="5"/>
        <v>140204</v>
      </c>
      <c r="D261" s="12" t="str">
        <f>"14.140204/2024.00673/BC.O."</f>
        <v>14.140204/2024.00673/BC.O.</v>
      </c>
      <c r="E261" s="12" t="str">
        <f>"200400033265"</f>
        <v>200400033265</v>
      </c>
      <c r="F261" s="12" t="str">
        <f>"JABONERA/DE PEDAL"</f>
        <v>JABONERA/DE PEDAL</v>
      </c>
      <c r="G261" s="12" t="s">
        <v>19</v>
      </c>
      <c r="H261" s="12" t="s">
        <v>20</v>
      </c>
      <c r="I261" s="12">
        <v>1</v>
      </c>
      <c r="J261" s="12" t="s">
        <v>21</v>
      </c>
      <c r="K261" s="12" t="s">
        <v>22</v>
      </c>
      <c r="L261" s="13">
        <v>15</v>
      </c>
    </row>
    <row r="262" spans="1:12" s="10" customFormat="1" ht="18" x14ac:dyDescent="0.25">
      <c r="A262" s="11">
        <v>258</v>
      </c>
      <c r="B262" s="12" t="s">
        <v>409</v>
      </c>
      <c r="C262" s="12" t="str">
        <f t="shared" si="5"/>
        <v>140204</v>
      </c>
      <c r="D262" s="12" t="str">
        <f>"14.140204/2024.00674/BC.O."</f>
        <v>14.140204/2024.00674/BC.O.</v>
      </c>
      <c r="E262" s="12" t="str">
        <f>"200400033266"</f>
        <v>200400033266</v>
      </c>
      <c r="F262" s="12" t="str">
        <f>"JABONERA/DE PEDAL"</f>
        <v>JABONERA/DE PEDAL</v>
      </c>
      <c r="G262" s="12" t="s">
        <v>19</v>
      </c>
      <c r="H262" s="12" t="s">
        <v>20</v>
      </c>
      <c r="I262" s="12">
        <v>1</v>
      </c>
      <c r="J262" s="12" t="s">
        <v>21</v>
      </c>
      <c r="K262" s="12" t="s">
        <v>22</v>
      </c>
      <c r="L262" s="13">
        <v>15</v>
      </c>
    </row>
    <row r="263" spans="1:12" s="10" customFormat="1" ht="18" x14ac:dyDescent="0.25">
      <c r="A263" s="11">
        <v>259</v>
      </c>
      <c r="B263" s="12" t="s">
        <v>409</v>
      </c>
      <c r="C263" s="12" t="str">
        <f t="shared" si="5"/>
        <v>140204</v>
      </c>
      <c r="D263" s="12" t="str">
        <f>"14.140204/2024.00675/BC.O."</f>
        <v>14.140204/2024.00675/BC.O.</v>
      </c>
      <c r="E263" s="12" t="str">
        <f>"200400033270"</f>
        <v>200400033270</v>
      </c>
      <c r="F263" s="12" t="str">
        <f>"JABONERA/DE PEDAL"</f>
        <v>JABONERA/DE PEDAL</v>
      </c>
      <c r="G263" s="12" t="s">
        <v>19</v>
      </c>
      <c r="H263" s="12" t="s">
        <v>20</v>
      </c>
      <c r="I263" s="12">
        <v>1</v>
      </c>
      <c r="J263" s="12" t="s">
        <v>21</v>
      </c>
      <c r="K263" s="12" t="s">
        <v>22</v>
      </c>
      <c r="L263" s="13">
        <v>15</v>
      </c>
    </row>
    <row r="264" spans="1:12" s="10" customFormat="1" ht="18" x14ac:dyDescent="0.25">
      <c r="A264" s="11">
        <v>260</v>
      </c>
      <c r="B264" s="12" t="s">
        <v>409</v>
      </c>
      <c r="C264" s="12" t="str">
        <f t="shared" si="5"/>
        <v>140204</v>
      </c>
      <c r="D264" s="12" t="str">
        <f>"14.140204/2024.00649/BC.O."</f>
        <v>14.140204/2024.00649/BC.O.</v>
      </c>
      <c r="E264" s="12" t="str">
        <f>"200400049847"</f>
        <v>200400049847</v>
      </c>
      <c r="F264" s="12" t="str">
        <f>"EQUIPO DE BOMBEO O BOMBA/HIDRO ASPIRADORA"</f>
        <v>EQUIPO DE BOMBEO O BOMBA/HIDRO ASPIRADORA</v>
      </c>
      <c r="G264" s="12" t="s">
        <v>19</v>
      </c>
      <c r="H264" s="12" t="s">
        <v>20</v>
      </c>
      <c r="I264" s="12">
        <v>1</v>
      </c>
      <c r="J264" s="12" t="s">
        <v>21</v>
      </c>
      <c r="K264" s="12" t="s">
        <v>22</v>
      </c>
      <c r="L264" s="13">
        <v>35</v>
      </c>
    </row>
    <row r="265" spans="1:12" s="10" customFormat="1" ht="18" x14ac:dyDescent="0.25">
      <c r="A265" s="11">
        <v>261</v>
      </c>
      <c r="B265" s="12" t="s">
        <v>409</v>
      </c>
      <c r="C265" s="12" t="str">
        <f t="shared" si="5"/>
        <v>140204</v>
      </c>
      <c r="D265" s="12" t="str">
        <f>"14.140204/2024.00682/BC.O."</f>
        <v>14.140204/2024.00682/BC.O.</v>
      </c>
      <c r="E265" s="12" t="str">
        <f>"200400056670"</f>
        <v>200400056670</v>
      </c>
      <c r="F265" s="12" t="str">
        <f>"UNIDAD/GENERADORA DE ULTRASONIDO"</f>
        <v>UNIDAD/GENERADORA DE ULTRASONIDO</v>
      </c>
      <c r="G265" s="12" t="s">
        <v>19</v>
      </c>
      <c r="H265" s="12" t="s">
        <v>20</v>
      </c>
      <c r="I265" s="12">
        <v>1</v>
      </c>
      <c r="J265" s="12" t="s">
        <v>21</v>
      </c>
      <c r="K265" s="12" t="s">
        <v>22</v>
      </c>
      <c r="L265" s="13">
        <v>150</v>
      </c>
    </row>
    <row r="266" spans="1:12" s="10" customFormat="1" ht="18" x14ac:dyDescent="0.25">
      <c r="A266" s="11">
        <v>262</v>
      </c>
      <c r="B266" s="12" t="s">
        <v>409</v>
      </c>
      <c r="C266" s="12" t="str">
        <f t="shared" si="5"/>
        <v>140204</v>
      </c>
      <c r="D266" s="12" t="str">
        <f>"14.140204/2024.00647/BC.O."</f>
        <v>14.140204/2024.00647/BC.O.</v>
      </c>
      <c r="E266" s="12" t="str">
        <f>"200490021923"</f>
        <v>200490021923</v>
      </c>
      <c r="F266" s="12" t="str">
        <f>"BANCA/ENTANDEM DE 4 PLAZAS"</f>
        <v>BANCA/ENTANDEM DE 4 PLAZAS</v>
      </c>
      <c r="G266" s="12" t="s">
        <v>19</v>
      </c>
      <c r="H266" s="12" t="s">
        <v>20</v>
      </c>
      <c r="I266" s="12">
        <v>1</v>
      </c>
      <c r="J266" s="12" t="s">
        <v>21</v>
      </c>
      <c r="K266" s="12" t="s">
        <v>22</v>
      </c>
      <c r="L266" s="13">
        <v>40</v>
      </c>
    </row>
    <row r="267" spans="1:12" s="10" customFormat="1" ht="18" x14ac:dyDescent="0.25">
      <c r="A267" s="11">
        <v>263</v>
      </c>
      <c r="B267" s="12" t="s">
        <v>409</v>
      </c>
      <c r="C267" s="12" t="str">
        <f t="shared" si="5"/>
        <v>140204</v>
      </c>
      <c r="D267" s="12" t="str">
        <f>"14.140204/2024.00656/BC.O."</f>
        <v>14.140204/2024.00656/BC.O.</v>
      </c>
      <c r="E267" s="12" t="str">
        <f>"200500012814"</f>
        <v>200500012814</v>
      </c>
      <c r="F267" s="12" t="str">
        <f>"LAMPARA/DE EMERGENCIA PARA CIRUGIA"</f>
        <v>LAMPARA/DE EMERGENCIA PARA CIRUGIA</v>
      </c>
      <c r="G267" s="12" t="s">
        <v>19</v>
      </c>
      <c r="H267" s="12" t="s">
        <v>20</v>
      </c>
      <c r="I267" s="12">
        <v>1</v>
      </c>
      <c r="J267" s="12" t="s">
        <v>21</v>
      </c>
      <c r="K267" s="12" t="s">
        <v>22</v>
      </c>
      <c r="L267" s="13">
        <v>150</v>
      </c>
    </row>
    <row r="268" spans="1:12" s="10" customFormat="1" ht="18" x14ac:dyDescent="0.25">
      <c r="A268" s="11">
        <v>264</v>
      </c>
      <c r="B268" s="12" t="s">
        <v>409</v>
      </c>
      <c r="C268" s="12" t="str">
        <f t="shared" si="5"/>
        <v>140204</v>
      </c>
      <c r="D268" s="12" t="str">
        <f>"14.140204/2024.00683/BC.O."</f>
        <v>14.140204/2024.00683/BC.O.</v>
      </c>
      <c r="E268" s="12" t="str">
        <f>"200880008732"</f>
        <v>200880008732</v>
      </c>
      <c r="F268" s="12" t="str">
        <f>"REANIMADOR/PARA VENTILACION ASISTIDA"</f>
        <v>REANIMADOR/PARA VENTILACION ASISTIDA</v>
      </c>
      <c r="G268" s="12" t="s">
        <v>19</v>
      </c>
      <c r="H268" s="12" t="s">
        <v>20</v>
      </c>
      <c r="I268" s="12">
        <v>1</v>
      </c>
      <c r="J268" s="12" t="s">
        <v>21</v>
      </c>
      <c r="K268" s="12" t="s">
        <v>22</v>
      </c>
      <c r="L268" s="13">
        <v>200</v>
      </c>
    </row>
    <row r="269" spans="1:12" s="10" customFormat="1" ht="18" x14ac:dyDescent="0.25">
      <c r="A269" s="11">
        <v>265</v>
      </c>
      <c r="B269" s="12" t="s">
        <v>409</v>
      </c>
      <c r="C269" s="12" t="str">
        <f t="shared" si="5"/>
        <v>140204</v>
      </c>
      <c r="D269" s="12" t="str">
        <f>"14.140204/2024.00676/BC.O."</f>
        <v>14.140204/2024.00676/BC.O.</v>
      </c>
      <c r="E269" s="12" t="str">
        <f>"201080047182"</f>
        <v>201080047182</v>
      </c>
      <c r="F269" s="12" t="str">
        <f>"UNIDAD/ELECTROQUIRURGICA"</f>
        <v>UNIDAD/ELECTROQUIRURGICA</v>
      </c>
      <c r="G269" s="12" t="s">
        <v>19</v>
      </c>
      <c r="H269" s="12" t="s">
        <v>20</v>
      </c>
      <c r="I269" s="12">
        <v>1</v>
      </c>
      <c r="J269" s="12" t="s">
        <v>21</v>
      </c>
      <c r="K269" s="12" t="s">
        <v>22</v>
      </c>
      <c r="L269" s="13">
        <v>150</v>
      </c>
    </row>
    <row r="270" spans="1:12" s="10" customFormat="1" ht="18" x14ac:dyDescent="0.25">
      <c r="A270" s="19">
        <v>266</v>
      </c>
      <c r="B270" s="20" t="s">
        <v>409</v>
      </c>
      <c r="C270" s="20" t="str">
        <f t="shared" si="5"/>
        <v>140204</v>
      </c>
      <c r="D270" s="20" t="str">
        <f>"14.140204/2024.00691/BC.O."</f>
        <v>14.140204/2024.00691/BC.O.</v>
      </c>
      <c r="E270" s="20" t="str">
        <f>"201180006589"</f>
        <v>201180006589</v>
      </c>
      <c r="F270" s="20" t="str">
        <f>"ESTERILIZADOR/A BASE DE VAPOR"</f>
        <v>ESTERILIZADOR/A BASE DE VAPOR</v>
      </c>
      <c r="G270" s="20" t="s">
        <v>19</v>
      </c>
      <c r="H270" s="20" t="s">
        <v>20</v>
      </c>
      <c r="I270" s="20">
        <v>1</v>
      </c>
      <c r="J270" s="20" t="s">
        <v>21</v>
      </c>
      <c r="K270" s="20" t="s">
        <v>410</v>
      </c>
      <c r="L270" s="13">
        <v>6500</v>
      </c>
    </row>
    <row r="271" spans="1:12" s="10" customFormat="1" ht="18" x14ac:dyDescent="0.25">
      <c r="A271" s="11">
        <v>267</v>
      </c>
      <c r="B271" s="12" t="s">
        <v>409</v>
      </c>
      <c r="C271" s="12" t="str">
        <f t="shared" si="5"/>
        <v>140204</v>
      </c>
      <c r="D271" s="12" t="str">
        <f>"14.140204/2024.00685/BC.O."</f>
        <v>14.140204/2024.00685/BC.O.</v>
      </c>
      <c r="E271" s="12" t="str">
        <f>"201680022293"</f>
        <v>201680022293</v>
      </c>
      <c r="F271" s="12" t="str">
        <f>"SILLA/MODELO ESPECIAL"</f>
        <v>SILLA/MODELO ESPECIAL</v>
      </c>
      <c r="G271" s="12" t="s">
        <v>19</v>
      </c>
      <c r="H271" s="12" t="s">
        <v>20</v>
      </c>
      <c r="I271" s="12">
        <v>1</v>
      </c>
      <c r="J271" s="12" t="s">
        <v>21</v>
      </c>
      <c r="K271" s="12" t="s">
        <v>22</v>
      </c>
      <c r="L271" s="13">
        <v>25</v>
      </c>
    </row>
    <row r="272" spans="1:12" s="10" customFormat="1" ht="18" x14ac:dyDescent="0.25">
      <c r="A272" s="11">
        <v>268</v>
      </c>
      <c r="B272" s="12" t="s">
        <v>409</v>
      </c>
      <c r="C272" s="12" t="str">
        <f t="shared" si="5"/>
        <v>140204</v>
      </c>
      <c r="D272" s="12" t="str">
        <f>"14.140204/2024.00686/BC.O."</f>
        <v>14.140204/2024.00686/BC.O.</v>
      </c>
      <c r="E272" s="12" t="str">
        <f>"201680042014"</f>
        <v>201680042014</v>
      </c>
      <c r="F272" s="12" t="str">
        <f>"KIT PARA MEDICOS"</f>
        <v>KIT PARA MEDICOS</v>
      </c>
      <c r="G272" s="12" t="s">
        <v>19</v>
      </c>
      <c r="H272" s="12" t="s">
        <v>20</v>
      </c>
      <c r="I272" s="12">
        <v>1</v>
      </c>
      <c r="J272" s="12" t="s">
        <v>21</v>
      </c>
      <c r="K272" s="12" t="s">
        <v>22</v>
      </c>
      <c r="L272" s="13">
        <v>50</v>
      </c>
    </row>
    <row r="273" spans="1:12" s="10" customFormat="1" ht="18" x14ac:dyDescent="0.25">
      <c r="A273" s="11">
        <v>269</v>
      </c>
      <c r="B273" s="12" t="s">
        <v>409</v>
      </c>
      <c r="C273" s="12" t="str">
        <f t="shared" si="5"/>
        <v>140204</v>
      </c>
      <c r="D273" s="12" t="str">
        <f>"14.140204/2024.00659/BC.O."</f>
        <v>14.140204/2024.00659/BC.O.</v>
      </c>
      <c r="E273" s="12" t="str">
        <f>"201880022867"</f>
        <v>201880022867</v>
      </c>
      <c r="F273" s="12" t="str">
        <f>"MOBILIARIO DE ADMINISTRACIÓN"</f>
        <v>MOBILIARIO DE ADMINISTRACIÓN</v>
      </c>
      <c r="G273" s="12" t="s">
        <v>19</v>
      </c>
      <c r="H273" s="12" t="s">
        <v>20</v>
      </c>
      <c r="I273" s="12">
        <v>1</v>
      </c>
      <c r="J273" s="12" t="s">
        <v>21</v>
      </c>
      <c r="K273" s="12" t="s">
        <v>22</v>
      </c>
      <c r="L273" s="13">
        <v>100</v>
      </c>
    </row>
    <row r="274" spans="1:12" s="10" customFormat="1" ht="18" x14ac:dyDescent="0.25">
      <c r="A274" s="11">
        <v>270</v>
      </c>
      <c r="B274" s="12" t="s">
        <v>409</v>
      </c>
      <c r="C274" s="12" t="str">
        <f t="shared" si="5"/>
        <v>140204</v>
      </c>
      <c r="D274" s="12" t="str">
        <f>"14.140204/2024.00657/BC.O."</f>
        <v>14.140204/2024.00657/BC.O.</v>
      </c>
      <c r="E274" s="12" t="str">
        <f>"202080020576"</f>
        <v>202080020576</v>
      </c>
      <c r="F274" s="12" t="str">
        <f>"MOBILIARIO MEDICO"</f>
        <v>MOBILIARIO MEDICO</v>
      </c>
      <c r="G274" s="12" t="s">
        <v>19</v>
      </c>
      <c r="H274" s="12" t="s">
        <v>20</v>
      </c>
      <c r="I274" s="12">
        <v>1</v>
      </c>
      <c r="J274" s="12" t="s">
        <v>21</v>
      </c>
      <c r="K274" s="12" t="s">
        <v>22</v>
      </c>
      <c r="L274" s="13">
        <v>100</v>
      </c>
    </row>
    <row r="275" spans="1:12" s="10" customFormat="1" ht="18" x14ac:dyDescent="0.25">
      <c r="A275" s="11">
        <v>271</v>
      </c>
      <c r="B275" s="12" t="s">
        <v>409</v>
      </c>
      <c r="C275" s="12" t="str">
        <f t="shared" si="5"/>
        <v>140204</v>
      </c>
      <c r="D275" s="12" t="str">
        <f>"14.140204/2024.00672/BC.O."</f>
        <v>14.140204/2024.00672/BC.O.</v>
      </c>
      <c r="E275" s="12" t="str">
        <f>"202080021237"</f>
        <v>202080021237</v>
      </c>
      <c r="F275" s="12" t="str">
        <f>"MOBILIARIO MEDICO"</f>
        <v>MOBILIARIO MEDICO</v>
      </c>
      <c r="G275" s="12" t="s">
        <v>19</v>
      </c>
      <c r="H275" s="12" t="s">
        <v>20</v>
      </c>
      <c r="I275" s="12">
        <v>1</v>
      </c>
      <c r="J275" s="12" t="s">
        <v>21</v>
      </c>
      <c r="K275" s="12" t="s">
        <v>22</v>
      </c>
      <c r="L275" s="13">
        <v>100</v>
      </c>
    </row>
    <row r="276" spans="1:12" s="10" customFormat="1" ht="18" x14ac:dyDescent="0.25">
      <c r="A276" s="11">
        <v>272</v>
      </c>
      <c r="B276" s="12" t="s">
        <v>411</v>
      </c>
      <c r="C276" s="12" t="str">
        <f t="shared" ref="C276:C296" si="8">"149102"</f>
        <v>149102</v>
      </c>
      <c r="D276" s="12" t="str">
        <f>"14.149102/2024.00028/BC.I."</f>
        <v>14.149102/2024.00028/BC.I.</v>
      </c>
      <c r="E276" s="12" t="str">
        <f>"200880050970"</f>
        <v>200880050970</v>
      </c>
      <c r="F276" s="12" t="str">
        <f t="shared" ref="F276:F296" si="9">"COMPUTADORA/MICROCOMPUTADORA"</f>
        <v>COMPUTADORA/MICROCOMPUTADORA</v>
      </c>
      <c r="G276" s="12" t="s">
        <v>19</v>
      </c>
      <c r="H276" s="12" t="s">
        <v>20</v>
      </c>
      <c r="I276" s="12">
        <v>1</v>
      </c>
      <c r="J276" s="12" t="s">
        <v>21</v>
      </c>
      <c r="K276" s="12" t="s">
        <v>22</v>
      </c>
      <c r="L276" s="13">
        <v>35</v>
      </c>
    </row>
    <row r="277" spans="1:12" s="10" customFormat="1" ht="18" x14ac:dyDescent="0.25">
      <c r="A277" s="11">
        <v>273</v>
      </c>
      <c r="B277" s="12" t="s">
        <v>411</v>
      </c>
      <c r="C277" s="12" t="str">
        <f t="shared" si="8"/>
        <v>149102</v>
      </c>
      <c r="D277" s="12" t="str">
        <f>"14.149102/2024.00027/BC.I."</f>
        <v>14.149102/2024.00027/BC.I.</v>
      </c>
      <c r="E277" s="12" t="str">
        <f>"200880051313"</f>
        <v>200880051313</v>
      </c>
      <c r="F277" s="12" t="str">
        <f t="shared" si="9"/>
        <v>COMPUTADORA/MICROCOMPUTADORA</v>
      </c>
      <c r="G277" s="12" t="s">
        <v>19</v>
      </c>
      <c r="H277" s="12" t="s">
        <v>20</v>
      </c>
      <c r="I277" s="12">
        <v>1</v>
      </c>
      <c r="J277" s="12" t="s">
        <v>21</v>
      </c>
      <c r="K277" s="12" t="s">
        <v>22</v>
      </c>
      <c r="L277" s="13">
        <v>35</v>
      </c>
    </row>
    <row r="278" spans="1:12" s="10" customFormat="1" ht="18" x14ac:dyDescent="0.25">
      <c r="A278" s="11">
        <v>274</v>
      </c>
      <c r="B278" s="12" t="s">
        <v>411</v>
      </c>
      <c r="C278" s="12" t="str">
        <f t="shared" si="8"/>
        <v>149102</v>
      </c>
      <c r="D278" s="12" t="str">
        <f>"14.149102/2024.00026/BC.I."</f>
        <v>14.149102/2024.00026/BC.I.</v>
      </c>
      <c r="E278" s="12" t="str">
        <f>"200880051337"</f>
        <v>200880051337</v>
      </c>
      <c r="F278" s="12" t="str">
        <f t="shared" si="9"/>
        <v>COMPUTADORA/MICROCOMPUTADORA</v>
      </c>
      <c r="G278" s="12" t="s">
        <v>19</v>
      </c>
      <c r="H278" s="12" t="s">
        <v>20</v>
      </c>
      <c r="I278" s="12">
        <v>1</v>
      </c>
      <c r="J278" s="12" t="s">
        <v>21</v>
      </c>
      <c r="K278" s="12" t="s">
        <v>22</v>
      </c>
      <c r="L278" s="13">
        <v>35</v>
      </c>
    </row>
    <row r="279" spans="1:12" s="10" customFormat="1" ht="18" x14ac:dyDescent="0.25">
      <c r="A279" s="11">
        <v>275</v>
      </c>
      <c r="B279" s="12" t="s">
        <v>411</v>
      </c>
      <c r="C279" s="12" t="str">
        <f t="shared" si="8"/>
        <v>149102</v>
      </c>
      <c r="D279" s="12" t="str">
        <f>"14.149102/2024.00044/BC.I."</f>
        <v>14.149102/2024.00044/BC.I.</v>
      </c>
      <c r="E279" s="12" t="str">
        <f>"200880051344"</f>
        <v>200880051344</v>
      </c>
      <c r="F279" s="12" t="str">
        <f t="shared" si="9"/>
        <v>COMPUTADORA/MICROCOMPUTADORA</v>
      </c>
      <c r="G279" s="12" t="s">
        <v>19</v>
      </c>
      <c r="H279" s="12" t="s">
        <v>20</v>
      </c>
      <c r="I279" s="12">
        <v>1</v>
      </c>
      <c r="J279" s="12" t="s">
        <v>21</v>
      </c>
      <c r="K279" s="12" t="s">
        <v>22</v>
      </c>
      <c r="L279" s="13">
        <v>35</v>
      </c>
    </row>
    <row r="280" spans="1:12" s="10" customFormat="1" ht="18" x14ac:dyDescent="0.25">
      <c r="A280" s="11">
        <v>276</v>
      </c>
      <c r="B280" s="12" t="s">
        <v>411</v>
      </c>
      <c r="C280" s="12" t="str">
        <f t="shared" si="8"/>
        <v>149102</v>
      </c>
      <c r="D280" s="12" t="str">
        <f>"14.149102/2024.00045/BC.I."</f>
        <v>14.149102/2024.00045/BC.I.</v>
      </c>
      <c r="E280" s="12" t="str">
        <f>"200880051350"</f>
        <v>200880051350</v>
      </c>
      <c r="F280" s="12" t="str">
        <f t="shared" si="9"/>
        <v>COMPUTADORA/MICROCOMPUTADORA</v>
      </c>
      <c r="G280" s="12" t="s">
        <v>19</v>
      </c>
      <c r="H280" s="12" t="s">
        <v>20</v>
      </c>
      <c r="I280" s="12">
        <v>1</v>
      </c>
      <c r="J280" s="12" t="s">
        <v>21</v>
      </c>
      <c r="K280" s="12" t="s">
        <v>22</v>
      </c>
      <c r="L280" s="13">
        <v>35</v>
      </c>
    </row>
    <row r="281" spans="1:12" s="10" customFormat="1" ht="18" x14ac:dyDescent="0.25">
      <c r="A281" s="11">
        <v>277</v>
      </c>
      <c r="B281" s="12" t="s">
        <v>411</v>
      </c>
      <c r="C281" s="12" t="str">
        <f t="shared" si="8"/>
        <v>149102</v>
      </c>
      <c r="D281" s="12" t="str">
        <f>"14.149102/2024.00029/BC.I."</f>
        <v>14.149102/2024.00029/BC.I.</v>
      </c>
      <c r="E281" s="12" t="str">
        <f>"200880051357"</f>
        <v>200880051357</v>
      </c>
      <c r="F281" s="12" t="str">
        <f t="shared" si="9"/>
        <v>COMPUTADORA/MICROCOMPUTADORA</v>
      </c>
      <c r="G281" s="12" t="s">
        <v>19</v>
      </c>
      <c r="H281" s="12" t="s">
        <v>20</v>
      </c>
      <c r="I281" s="12">
        <v>1</v>
      </c>
      <c r="J281" s="12" t="s">
        <v>21</v>
      </c>
      <c r="K281" s="12" t="s">
        <v>22</v>
      </c>
      <c r="L281" s="13">
        <v>35</v>
      </c>
    </row>
    <row r="282" spans="1:12" s="10" customFormat="1" ht="18" x14ac:dyDescent="0.25">
      <c r="A282" s="11">
        <v>278</v>
      </c>
      <c r="B282" s="12" t="s">
        <v>411</v>
      </c>
      <c r="C282" s="12" t="str">
        <f t="shared" si="8"/>
        <v>149102</v>
      </c>
      <c r="D282" s="12" t="str">
        <f>"14.149102/2024.00030/BC.I."</f>
        <v>14.149102/2024.00030/BC.I.</v>
      </c>
      <c r="E282" s="12" t="str">
        <f>"200880051368"</f>
        <v>200880051368</v>
      </c>
      <c r="F282" s="12" t="str">
        <f t="shared" si="9"/>
        <v>COMPUTADORA/MICROCOMPUTADORA</v>
      </c>
      <c r="G282" s="12" t="s">
        <v>19</v>
      </c>
      <c r="H282" s="12" t="s">
        <v>20</v>
      </c>
      <c r="I282" s="12">
        <v>1</v>
      </c>
      <c r="J282" s="12" t="s">
        <v>21</v>
      </c>
      <c r="K282" s="12" t="s">
        <v>22</v>
      </c>
      <c r="L282" s="13">
        <v>35</v>
      </c>
    </row>
    <row r="283" spans="1:12" s="10" customFormat="1" ht="18" x14ac:dyDescent="0.25">
      <c r="A283" s="11">
        <v>279</v>
      </c>
      <c r="B283" s="12" t="s">
        <v>411</v>
      </c>
      <c r="C283" s="12" t="str">
        <f t="shared" si="8"/>
        <v>149102</v>
      </c>
      <c r="D283" s="12" t="str">
        <f>"14.149102/2024.00040/BC.I."</f>
        <v>14.149102/2024.00040/BC.I.</v>
      </c>
      <c r="E283" s="12" t="str">
        <f>"200880051378"</f>
        <v>200880051378</v>
      </c>
      <c r="F283" s="12" t="str">
        <f t="shared" si="9"/>
        <v>COMPUTADORA/MICROCOMPUTADORA</v>
      </c>
      <c r="G283" s="12" t="s">
        <v>19</v>
      </c>
      <c r="H283" s="12" t="s">
        <v>20</v>
      </c>
      <c r="I283" s="12">
        <v>1</v>
      </c>
      <c r="J283" s="12" t="s">
        <v>21</v>
      </c>
      <c r="K283" s="12" t="s">
        <v>22</v>
      </c>
      <c r="L283" s="13">
        <v>35</v>
      </c>
    </row>
    <row r="284" spans="1:12" s="10" customFormat="1" ht="18" x14ac:dyDescent="0.25">
      <c r="A284" s="11">
        <v>280</v>
      </c>
      <c r="B284" s="12" t="s">
        <v>411</v>
      </c>
      <c r="C284" s="12" t="str">
        <f t="shared" si="8"/>
        <v>149102</v>
      </c>
      <c r="D284" s="12" t="str">
        <f>"14.149102/2024.00046/BC.I."</f>
        <v>14.149102/2024.00046/BC.I.</v>
      </c>
      <c r="E284" s="12" t="str">
        <f>"200880051408"</f>
        <v>200880051408</v>
      </c>
      <c r="F284" s="12" t="str">
        <f t="shared" si="9"/>
        <v>COMPUTADORA/MICROCOMPUTADORA</v>
      </c>
      <c r="G284" s="12" t="s">
        <v>19</v>
      </c>
      <c r="H284" s="12" t="s">
        <v>20</v>
      </c>
      <c r="I284" s="12">
        <v>1</v>
      </c>
      <c r="J284" s="12" t="s">
        <v>21</v>
      </c>
      <c r="K284" s="12" t="s">
        <v>22</v>
      </c>
      <c r="L284" s="13">
        <v>35</v>
      </c>
    </row>
    <row r="285" spans="1:12" s="10" customFormat="1" ht="18" x14ac:dyDescent="0.25">
      <c r="A285" s="11">
        <v>281</v>
      </c>
      <c r="B285" s="12" t="s">
        <v>411</v>
      </c>
      <c r="C285" s="12" t="str">
        <f t="shared" si="8"/>
        <v>149102</v>
      </c>
      <c r="D285" s="12" t="str">
        <f>"14.149102/2024.00037/BC.I."</f>
        <v>14.149102/2024.00037/BC.I.</v>
      </c>
      <c r="E285" s="12" t="str">
        <f>"200880051426"</f>
        <v>200880051426</v>
      </c>
      <c r="F285" s="12" t="str">
        <f t="shared" si="9"/>
        <v>COMPUTADORA/MICROCOMPUTADORA</v>
      </c>
      <c r="G285" s="12" t="s">
        <v>19</v>
      </c>
      <c r="H285" s="12" t="s">
        <v>20</v>
      </c>
      <c r="I285" s="12">
        <v>1</v>
      </c>
      <c r="J285" s="12" t="s">
        <v>21</v>
      </c>
      <c r="K285" s="12" t="s">
        <v>22</v>
      </c>
      <c r="L285" s="13">
        <v>35</v>
      </c>
    </row>
    <row r="286" spans="1:12" s="10" customFormat="1" ht="18" x14ac:dyDescent="0.25">
      <c r="A286" s="11">
        <v>282</v>
      </c>
      <c r="B286" s="12" t="s">
        <v>411</v>
      </c>
      <c r="C286" s="12" t="str">
        <f t="shared" si="8"/>
        <v>149102</v>
      </c>
      <c r="D286" s="12" t="str">
        <f>"14.149102/2024.00041/BC.I."</f>
        <v>14.149102/2024.00041/BC.I.</v>
      </c>
      <c r="E286" s="12" t="str">
        <f>"200880051431"</f>
        <v>200880051431</v>
      </c>
      <c r="F286" s="12" t="str">
        <f t="shared" si="9"/>
        <v>COMPUTADORA/MICROCOMPUTADORA</v>
      </c>
      <c r="G286" s="12" t="s">
        <v>19</v>
      </c>
      <c r="H286" s="12" t="s">
        <v>20</v>
      </c>
      <c r="I286" s="12">
        <v>1</v>
      </c>
      <c r="J286" s="12" t="s">
        <v>21</v>
      </c>
      <c r="K286" s="12" t="s">
        <v>22</v>
      </c>
      <c r="L286" s="13">
        <v>35</v>
      </c>
    </row>
    <row r="287" spans="1:12" s="10" customFormat="1" ht="18" x14ac:dyDescent="0.25">
      <c r="A287" s="11">
        <v>283</v>
      </c>
      <c r="B287" s="12" t="s">
        <v>411</v>
      </c>
      <c r="C287" s="12" t="str">
        <f t="shared" si="8"/>
        <v>149102</v>
      </c>
      <c r="D287" s="12" t="str">
        <f>"14.149102/2024.00031/BC.I."</f>
        <v>14.149102/2024.00031/BC.I.</v>
      </c>
      <c r="E287" s="12" t="str">
        <f>"200880051438"</f>
        <v>200880051438</v>
      </c>
      <c r="F287" s="12" t="str">
        <f t="shared" si="9"/>
        <v>COMPUTADORA/MICROCOMPUTADORA</v>
      </c>
      <c r="G287" s="12" t="s">
        <v>19</v>
      </c>
      <c r="H287" s="12" t="s">
        <v>20</v>
      </c>
      <c r="I287" s="12">
        <v>1</v>
      </c>
      <c r="J287" s="12" t="s">
        <v>21</v>
      </c>
      <c r="K287" s="12" t="s">
        <v>22</v>
      </c>
      <c r="L287" s="13">
        <v>35</v>
      </c>
    </row>
    <row r="288" spans="1:12" s="10" customFormat="1" ht="18" x14ac:dyDescent="0.25">
      <c r="A288" s="11">
        <v>284</v>
      </c>
      <c r="B288" s="12" t="s">
        <v>411</v>
      </c>
      <c r="C288" s="12" t="str">
        <f t="shared" si="8"/>
        <v>149102</v>
      </c>
      <c r="D288" s="12" t="str">
        <f>"14.149102/2024.00032/BC.I."</f>
        <v>14.149102/2024.00032/BC.I.</v>
      </c>
      <c r="E288" s="12" t="str">
        <f>"200880051448"</f>
        <v>200880051448</v>
      </c>
      <c r="F288" s="12" t="str">
        <f t="shared" si="9"/>
        <v>COMPUTADORA/MICROCOMPUTADORA</v>
      </c>
      <c r="G288" s="12" t="s">
        <v>19</v>
      </c>
      <c r="H288" s="12" t="s">
        <v>20</v>
      </c>
      <c r="I288" s="12">
        <v>1</v>
      </c>
      <c r="J288" s="12" t="s">
        <v>21</v>
      </c>
      <c r="K288" s="12" t="s">
        <v>22</v>
      </c>
      <c r="L288" s="13">
        <v>35</v>
      </c>
    </row>
    <row r="289" spans="1:12" s="10" customFormat="1" ht="18" x14ac:dyDescent="0.25">
      <c r="A289" s="11">
        <v>285</v>
      </c>
      <c r="B289" s="12" t="s">
        <v>411</v>
      </c>
      <c r="C289" s="12" t="str">
        <f t="shared" si="8"/>
        <v>149102</v>
      </c>
      <c r="D289" s="12" t="str">
        <f>"14.149102/2024.00038/BC.I."</f>
        <v>14.149102/2024.00038/BC.I.</v>
      </c>
      <c r="E289" s="12" t="str">
        <f>"200880051564"</f>
        <v>200880051564</v>
      </c>
      <c r="F289" s="12" t="str">
        <f t="shared" si="9"/>
        <v>COMPUTADORA/MICROCOMPUTADORA</v>
      </c>
      <c r="G289" s="12" t="s">
        <v>19</v>
      </c>
      <c r="H289" s="12" t="s">
        <v>20</v>
      </c>
      <c r="I289" s="12">
        <v>1</v>
      </c>
      <c r="J289" s="12" t="s">
        <v>21</v>
      </c>
      <c r="K289" s="12" t="s">
        <v>22</v>
      </c>
      <c r="L289" s="13">
        <v>35</v>
      </c>
    </row>
    <row r="290" spans="1:12" s="10" customFormat="1" ht="18" x14ac:dyDescent="0.25">
      <c r="A290" s="11">
        <v>286</v>
      </c>
      <c r="B290" s="12" t="s">
        <v>411</v>
      </c>
      <c r="C290" s="12" t="str">
        <f t="shared" si="8"/>
        <v>149102</v>
      </c>
      <c r="D290" s="12" t="str">
        <f>"14.149102/2024.00042/BC.I."</f>
        <v>14.149102/2024.00042/BC.I.</v>
      </c>
      <c r="E290" s="12" t="str">
        <f>"200880051589"</f>
        <v>200880051589</v>
      </c>
      <c r="F290" s="12" t="str">
        <f t="shared" si="9"/>
        <v>COMPUTADORA/MICROCOMPUTADORA</v>
      </c>
      <c r="G290" s="12" t="s">
        <v>19</v>
      </c>
      <c r="H290" s="12" t="s">
        <v>20</v>
      </c>
      <c r="I290" s="12">
        <v>1</v>
      </c>
      <c r="J290" s="12" t="s">
        <v>21</v>
      </c>
      <c r="K290" s="12" t="s">
        <v>22</v>
      </c>
      <c r="L290" s="13">
        <v>35</v>
      </c>
    </row>
    <row r="291" spans="1:12" s="10" customFormat="1" ht="18" x14ac:dyDescent="0.25">
      <c r="A291" s="11">
        <v>287</v>
      </c>
      <c r="B291" s="12" t="s">
        <v>411</v>
      </c>
      <c r="C291" s="12" t="str">
        <f t="shared" si="8"/>
        <v>149102</v>
      </c>
      <c r="D291" s="12" t="str">
        <f>"14.149102/2024.00033/BC.I."</f>
        <v>14.149102/2024.00033/BC.I.</v>
      </c>
      <c r="E291" s="12" t="str">
        <f>"200880051658"</f>
        <v>200880051658</v>
      </c>
      <c r="F291" s="12" t="str">
        <f t="shared" si="9"/>
        <v>COMPUTADORA/MICROCOMPUTADORA</v>
      </c>
      <c r="G291" s="12" t="s">
        <v>19</v>
      </c>
      <c r="H291" s="12" t="s">
        <v>20</v>
      </c>
      <c r="I291" s="12">
        <v>1</v>
      </c>
      <c r="J291" s="12" t="s">
        <v>21</v>
      </c>
      <c r="K291" s="12" t="s">
        <v>22</v>
      </c>
      <c r="L291" s="13">
        <v>35</v>
      </c>
    </row>
    <row r="292" spans="1:12" s="10" customFormat="1" ht="18" x14ac:dyDescent="0.25">
      <c r="A292" s="11">
        <v>288</v>
      </c>
      <c r="B292" s="12" t="s">
        <v>411</v>
      </c>
      <c r="C292" s="12" t="str">
        <f t="shared" si="8"/>
        <v>149102</v>
      </c>
      <c r="D292" s="12" t="str">
        <f>"14.149102/2024.00034/BC.I."</f>
        <v>14.149102/2024.00034/BC.I.</v>
      </c>
      <c r="E292" s="12" t="str">
        <f>"200880051664"</f>
        <v>200880051664</v>
      </c>
      <c r="F292" s="12" t="str">
        <f t="shared" si="9"/>
        <v>COMPUTADORA/MICROCOMPUTADORA</v>
      </c>
      <c r="G292" s="12" t="s">
        <v>19</v>
      </c>
      <c r="H292" s="12" t="s">
        <v>20</v>
      </c>
      <c r="I292" s="12">
        <v>1</v>
      </c>
      <c r="J292" s="12" t="s">
        <v>21</v>
      </c>
      <c r="K292" s="12" t="s">
        <v>22</v>
      </c>
      <c r="L292" s="13">
        <v>35</v>
      </c>
    </row>
    <row r="293" spans="1:12" s="10" customFormat="1" ht="18" x14ac:dyDescent="0.25">
      <c r="A293" s="11">
        <v>289</v>
      </c>
      <c r="B293" s="12" t="s">
        <v>411</v>
      </c>
      <c r="C293" s="12" t="str">
        <f t="shared" si="8"/>
        <v>149102</v>
      </c>
      <c r="D293" s="12" t="str">
        <f>"14.149102/2024.00039/BC.I."</f>
        <v>14.149102/2024.00039/BC.I.</v>
      </c>
      <c r="E293" s="12" t="str">
        <f>"200880051912"</f>
        <v>200880051912</v>
      </c>
      <c r="F293" s="12" t="str">
        <f t="shared" si="9"/>
        <v>COMPUTADORA/MICROCOMPUTADORA</v>
      </c>
      <c r="G293" s="12" t="s">
        <v>19</v>
      </c>
      <c r="H293" s="12" t="s">
        <v>20</v>
      </c>
      <c r="I293" s="12">
        <v>1</v>
      </c>
      <c r="J293" s="12" t="s">
        <v>21</v>
      </c>
      <c r="K293" s="12" t="s">
        <v>22</v>
      </c>
      <c r="L293" s="13">
        <v>35</v>
      </c>
    </row>
    <row r="294" spans="1:12" s="10" customFormat="1" ht="18" x14ac:dyDescent="0.25">
      <c r="A294" s="11">
        <v>290</v>
      </c>
      <c r="B294" s="12" t="s">
        <v>411</v>
      </c>
      <c r="C294" s="12" t="str">
        <f t="shared" si="8"/>
        <v>149102</v>
      </c>
      <c r="D294" s="12" t="str">
        <f>"14.149102/2024.00043/BC.I."</f>
        <v>14.149102/2024.00043/BC.I.</v>
      </c>
      <c r="E294" s="12" t="str">
        <f>"200880052051"</f>
        <v>200880052051</v>
      </c>
      <c r="F294" s="12" t="str">
        <f t="shared" si="9"/>
        <v>COMPUTADORA/MICROCOMPUTADORA</v>
      </c>
      <c r="G294" s="12" t="s">
        <v>19</v>
      </c>
      <c r="H294" s="12" t="s">
        <v>20</v>
      </c>
      <c r="I294" s="12">
        <v>1</v>
      </c>
      <c r="J294" s="12" t="s">
        <v>21</v>
      </c>
      <c r="K294" s="12" t="s">
        <v>22</v>
      </c>
      <c r="L294" s="13">
        <v>35</v>
      </c>
    </row>
    <row r="295" spans="1:12" s="10" customFormat="1" ht="18" x14ac:dyDescent="0.25">
      <c r="A295" s="11">
        <v>291</v>
      </c>
      <c r="B295" s="12" t="s">
        <v>411</v>
      </c>
      <c r="C295" s="12" t="str">
        <f t="shared" si="8"/>
        <v>149102</v>
      </c>
      <c r="D295" s="12" t="str">
        <f>"14.149102/2024.00035/BC.I."</f>
        <v>14.149102/2024.00035/BC.I.</v>
      </c>
      <c r="E295" s="12" t="str">
        <f>"200880052072"</f>
        <v>200880052072</v>
      </c>
      <c r="F295" s="12" t="str">
        <f t="shared" si="9"/>
        <v>COMPUTADORA/MICROCOMPUTADORA</v>
      </c>
      <c r="G295" s="12" t="s">
        <v>19</v>
      </c>
      <c r="H295" s="12" t="s">
        <v>20</v>
      </c>
      <c r="I295" s="12">
        <v>1</v>
      </c>
      <c r="J295" s="12" t="s">
        <v>21</v>
      </c>
      <c r="K295" s="12" t="s">
        <v>22</v>
      </c>
      <c r="L295" s="13">
        <v>35</v>
      </c>
    </row>
    <row r="296" spans="1:12" s="10" customFormat="1" ht="18" x14ac:dyDescent="0.25">
      <c r="A296" s="11">
        <v>292</v>
      </c>
      <c r="B296" s="12" t="s">
        <v>411</v>
      </c>
      <c r="C296" s="12" t="str">
        <f t="shared" si="8"/>
        <v>149102</v>
      </c>
      <c r="D296" s="12" t="str">
        <f>"14.149102/2024.00036/BC.I."</f>
        <v>14.149102/2024.00036/BC.I.</v>
      </c>
      <c r="E296" s="12" t="str">
        <f>"201180018960"</f>
        <v>201180018960</v>
      </c>
      <c r="F296" s="12" t="str">
        <f t="shared" si="9"/>
        <v>COMPUTADORA/MICROCOMPUTADORA</v>
      </c>
      <c r="G296" s="12" t="s">
        <v>19</v>
      </c>
      <c r="H296" s="12" t="s">
        <v>20</v>
      </c>
      <c r="I296" s="12">
        <v>1</v>
      </c>
      <c r="J296" s="12" t="s">
        <v>21</v>
      </c>
      <c r="K296" s="12" t="s">
        <v>22</v>
      </c>
      <c r="L296" s="13">
        <v>35</v>
      </c>
    </row>
    <row r="297" spans="1:12" s="10" customFormat="1" ht="18" x14ac:dyDescent="0.25">
      <c r="A297" s="11">
        <v>293</v>
      </c>
      <c r="B297" s="12" t="s">
        <v>412</v>
      </c>
      <c r="C297" s="12" t="str">
        <f t="shared" ref="C297:C322" si="10">"140101"</f>
        <v>140101</v>
      </c>
      <c r="D297" s="12" t="str">
        <f>"14.140101/2024.00487/BC.I."</f>
        <v>14.140101/2024.00487/BC.I.</v>
      </c>
      <c r="E297" s="12" t="str">
        <f>"1995407695"</f>
        <v>1995407695</v>
      </c>
      <c r="F297" s="12" t="str">
        <f>"MODEM/PARA TELEPROCESO"</f>
        <v>MODEM/PARA TELEPROCESO</v>
      </c>
      <c r="G297" s="12" t="s">
        <v>19</v>
      </c>
      <c r="H297" s="12" t="s">
        <v>20</v>
      </c>
      <c r="I297" s="12">
        <v>1</v>
      </c>
      <c r="J297" s="12" t="s">
        <v>21</v>
      </c>
      <c r="K297" s="12" t="s">
        <v>22</v>
      </c>
      <c r="L297" s="13">
        <v>10</v>
      </c>
    </row>
    <row r="298" spans="1:12" s="10" customFormat="1" ht="18" x14ac:dyDescent="0.25">
      <c r="A298" s="11">
        <v>294</v>
      </c>
      <c r="B298" s="12" t="s">
        <v>412</v>
      </c>
      <c r="C298" s="12" t="str">
        <f t="shared" si="10"/>
        <v>140101</v>
      </c>
      <c r="D298" s="12" t="str">
        <f>"14.140101/2024.00488/BC.I."</f>
        <v>14.140101/2024.00488/BC.I.</v>
      </c>
      <c r="E298" s="12" t="str">
        <f>"1995407831"</f>
        <v>1995407831</v>
      </c>
      <c r="F298" s="12" t="str">
        <f>"MODEM/PARA TELEPROCESO"</f>
        <v>MODEM/PARA TELEPROCESO</v>
      </c>
      <c r="G298" s="12" t="s">
        <v>19</v>
      </c>
      <c r="H298" s="12" t="s">
        <v>20</v>
      </c>
      <c r="I298" s="12">
        <v>1</v>
      </c>
      <c r="J298" s="12" t="s">
        <v>21</v>
      </c>
      <c r="K298" s="12" t="s">
        <v>22</v>
      </c>
      <c r="L298" s="13">
        <v>10</v>
      </c>
    </row>
    <row r="299" spans="1:12" s="10" customFormat="1" ht="18" x14ac:dyDescent="0.25">
      <c r="A299" s="11">
        <v>295</v>
      </c>
      <c r="B299" s="12" t="s">
        <v>412</v>
      </c>
      <c r="C299" s="12" t="str">
        <f t="shared" si="10"/>
        <v>140101</v>
      </c>
      <c r="D299" s="12" t="str">
        <f>"14.140101/2024.00494/BC.I."</f>
        <v>14.140101/2024.00494/BC.I.</v>
      </c>
      <c r="E299" s="12" t="str">
        <f>"200400004886"</f>
        <v>200400004886</v>
      </c>
      <c r="F299" s="12" t="str">
        <f>"TELEVISOR/CON VIDEO INTEGRADO"</f>
        <v>TELEVISOR/CON VIDEO INTEGRADO</v>
      </c>
      <c r="G299" s="12" t="s">
        <v>19</v>
      </c>
      <c r="H299" s="12" t="s">
        <v>20</v>
      </c>
      <c r="I299" s="12">
        <v>1</v>
      </c>
      <c r="J299" s="12" t="s">
        <v>21</v>
      </c>
      <c r="K299" s="12" t="s">
        <v>22</v>
      </c>
      <c r="L299" s="13">
        <v>25</v>
      </c>
    </row>
    <row r="300" spans="1:12" s="10" customFormat="1" ht="18" x14ac:dyDescent="0.25">
      <c r="A300" s="11">
        <v>296</v>
      </c>
      <c r="B300" s="12" t="s">
        <v>412</v>
      </c>
      <c r="C300" s="12" t="str">
        <f t="shared" si="10"/>
        <v>140101</v>
      </c>
      <c r="D300" s="12" t="str">
        <f>"14.140101/2024.00478/BC.O."</f>
        <v>14.140101/2024.00478/BC.O.</v>
      </c>
      <c r="E300" s="12" t="str">
        <f>"1988036049"</f>
        <v>1988036049</v>
      </c>
      <c r="F300" s="12" t="str">
        <f>"OXIGENADOR/PARA USO MEDICO"</f>
        <v>OXIGENADOR/PARA USO MEDICO</v>
      </c>
      <c r="G300" s="12" t="s">
        <v>19</v>
      </c>
      <c r="H300" s="12" t="s">
        <v>20</v>
      </c>
      <c r="I300" s="12">
        <v>1</v>
      </c>
      <c r="J300" s="12" t="s">
        <v>21</v>
      </c>
      <c r="K300" s="12" t="s">
        <v>22</v>
      </c>
      <c r="L300" s="13">
        <v>35</v>
      </c>
    </row>
    <row r="301" spans="1:12" s="10" customFormat="1" ht="18" x14ac:dyDescent="0.25">
      <c r="A301" s="11">
        <v>297</v>
      </c>
      <c r="B301" s="12" t="s">
        <v>412</v>
      </c>
      <c r="C301" s="12" t="str">
        <f t="shared" si="10"/>
        <v>140101</v>
      </c>
      <c r="D301" s="12" t="str">
        <f>"14.140101/2024.00485/BC.O."</f>
        <v>14.140101/2024.00485/BC.O.</v>
      </c>
      <c r="E301" s="12" t="str">
        <f>"1988054190"</f>
        <v>1988054190</v>
      </c>
      <c r="F301" s="12" t="str">
        <f>"SILLA/METALICA FIJA"</f>
        <v>SILLA/METALICA FIJA</v>
      </c>
      <c r="G301" s="12" t="s">
        <v>19</v>
      </c>
      <c r="H301" s="12" t="s">
        <v>20</v>
      </c>
      <c r="I301" s="12">
        <v>1</v>
      </c>
      <c r="J301" s="12" t="s">
        <v>21</v>
      </c>
      <c r="K301" s="12" t="s">
        <v>22</v>
      </c>
      <c r="L301" s="13">
        <v>25</v>
      </c>
    </row>
    <row r="302" spans="1:12" s="10" customFormat="1" ht="18" x14ac:dyDescent="0.25">
      <c r="A302" s="11">
        <v>298</v>
      </c>
      <c r="B302" s="12" t="s">
        <v>412</v>
      </c>
      <c r="C302" s="12" t="str">
        <f t="shared" si="10"/>
        <v>140101</v>
      </c>
      <c r="D302" s="12" t="str">
        <f>"14.140101/2024.00486/BC.O."</f>
        <v>14.140101/2024.00486/BC.O.</v>
      </c>
      <c r="E302" s="12" t="str">
        <f>"1988054191"</f>
        <v>1988054191</v>
      </c>
      <c r="F302" s="12" t="str">
        <f>"SILLA/METALICA FIJA"</f>
        <v>SILLA/METALICA FIJA</v>
      </c>
      <c r="G302" s="12" t="s">
        <v>19</v>
      </c>
      <c r="H302" s="12" t="s">
        <v>20</v>
      </c>
      <c r="I302" s="12">
        <v>1</v>
      </c>
      <c r="J302" s="12" t="s">
        <v>21</v>
      </c>
      <c r="K302" s="12" t="s">
        <v>22</v>
      </c>
      <c r="L302" s="13">
        <v>25</v>
      </c>
    </row>
    <row r="303" spans="1:12" s="10" customFormat="1" ht="18" x14ac:dyDescent="0.25">
      <c r="A303" s="11">
        <v>299</v>
      </c>
      <c r="B303" s="12" t="s">
        <v>412</v>
      </c>
      <c r="C303" s="12" t="str">
        <f t="shared" si="10"/>
        <v>140101</v>
      </c>
      <c r="D303" s="12" t="str">
        <f>"14.140101/2024.00479/BC.O."</f>
        <v>14.140101/2024.00479/BC.O.</v>
      </c>
      <c r="E303" s="12" t="str">
        <f>"1992033771"</f>
        <v>1992033771</v>
      </c>
      <c r="F303" s="12" t="str">
        <f>"NEBULIZADOR/HUMIDIFICADOR"</f>
        <v>NEBULIZADOR/HUMIDIFICADOR</v>
      </c>
      <c r="G303" s="12" t="s">
        <v>19</v>
      </c>
      <c r="H303" s="12" t="s">
        <v>20</v>
      </c>
      <c r="I303" s="12">
        <v>1</v>
      </c>
      <c r="J303" s="12" t="s">
        <v>21</v>
      </c>
      <c r="K303" s="12" t="s">
        <v>22</v>
      </c>
      <c r="L303" s="13">
        <v>35</v>
      </c>
    </row>
    <row r="304" spans="1:12" s="10" customFormat="1" ht="18" x14ac:dyDescent="0.25">
      <c r="A304" s="11">
        <v>300</v>
      </c>
      <c r="B304" s="12" t="s">
        <v>412</v>
      </c>
      <c r="C304" s="12" t="str">
        <f t="shared" si="10"/>
        <v>140101</v>
      </c>
      <c r="D304" s="12" t="str">
        <f>"14.140101/2024.00489/BC.O."</f>
        <v>14.140101/2024.00489/BC.O.</v>
      </c>
      <c r="E304" s="12" t="str">
        <f>"1997005120"</f>
        <v>1997005120</v>
      </c>
      <c r="F304" s="12" t="str">
        <f>"CENTRIFUGA/DE MESA"</f>
        <v>CENTRIFUGA/DE MESA</v>
      </c>
      <c r="G304" s="12" t="s">
        <v>19</v>
      </c>
      <c r="H304" s="12" t="s">
        <v>20</v>
      </c>
      <c r="I304" s="12">
        <v>1</v>
      </c>
      <c r="J304" s="12" t="s">
        <v>21</v>
      </c>
      <c r="K304" s="12" t="s">
        <v>22</v>
      </c>
      <c r="L304" s="13">
        <v>50</v>
      </c>
    </row>
    <row r="305" spans="1:12" s="10" customFormat="1" ht="18" x14ac:dyDescent="0.25">
      <c r="A305" s="11">
        <v>301</v>
      </c>
      <c r="B305" s="12" t="s">
        <v>412</v>
      </c>
      <c r="C305" s="12" t="str">
        <f t="shared" si="10"/>
        <v>140101</v>
      </c>
      <c r="D305" s="12" t="str">
        <f>"14.140101/2024.00490/BC.O."</f>
        <v>14.140101/2024.00490/BC.O.</v>
      </c>
      <c r="E305" s="12" t="str">
        <f>"2000001707"</f>
        <v>2000001707</v>
      </c>
      <c r="F305" s="12" t="str">
        <f>"CARRO/PARA EQUIPO MEDICO"</f>
        <v>CARRO/PARA EQUIPO MEDICO</v>
      </c>
      <c r="G305" s="12" t="s">
        <v>19</v>
      </c>
      <c r="H305" s="12" t="s">
        <v>20</v>
      </c>
      <c r="I305" s="12">
        <v>1</v>
      </c>
      <c r="J305" s="12" t="s">
        <v>21</v>
      </c>
      <c r="K305" s="12" t="s">
        <v>22</v>
      </c>
      <c r="L305" s="13">
        <v>50</v>
      </c>
    </row>
    <row r="306" spans="1:12" s="10" customFormat="1" ht="18" x14ac:dyDescent="0.25">
      <c r="A306" s="11">
        <v>302</v>
      </c>
      <c r="B306" s="12" t="s">
        <v>412</v>
      </c>
      <c r="C306" s="12" t="str">
        <f t="shared" si="10"/>
        <v>140101</v>
      </c>
      <c r="D306" s="12" t="str">
        <f>"14.140101/2024.00480/BC.O."</f>
        <v>14.140101/2024.00480/BC.O.</v>
      </c>
      <c r="E306" s="12" t="str">
        <f>"2000905171"</f>
        <v>2000905171</v>
      </c>
      <c r="F306" s="12" t="str">
        <f>"ESTUCHE/DE DIAGNOSTICO"</f>
        <v>ESTUCHE/DE DIAGNOSTICO</v>
      </c>
      <c r="G306" s="12" t="s">
        <v>19</v>
      </c>
      <c r="H306" s="12" t="s">
        <v>20</v>
      </c>
      <c r="I306" s="12">
        <v>1</v>
      </c>
      <c r="J306" s="12" t="s">
        <v>21</v>
      </c>
      <c r="K306" s="12" t="s">
        <v>22</v>
      </c>
      <c r="L306" s="13">
        <v>50</v>
      </c>
    </row>
    <row r="307" spans="1:12" s="10" customFormat="1" ht="18" x14ac:dyDescent="0.25">
      <c r="A307" s="11">
        <v>303</v>
      </c>
      <c r="B307" s="12" t="s">
        <v>412</v>
      </c>
      <c r="C307" s="12" t="str">
        <f t="shared" si="10"/>
        <v>140101</v>
      </c>
      <c r="D307" s="12" t="str">
        <f>"14.140101/2024.00491/BC.O."</f>
        <v>14.140101/2024.00491/BC.O.</v>
      </c>
      <c r="E307" s="12" t="str">
        <f>"2000905172"</f>
        <v>2000905172</v>
      </c>
      <c r="F307" s="12" t="str">
        <f>"ESTUCHE/DE DIAGNOSTICO"</f>
        <v>ESTUCHE/DE DIAGNOSTICO</v>
      </c>
      <c r="G307" s="12" t="s">
        <v>19</v>
      </c>
      <c r="H307" s="12" t="s">
        <v>20</v>
      </c>
      <c r="I307" s="12">
        <v>1</v>
      </c>
      <c r="J307" s="12" t="s">
        <v>21</v>
      </c>
      <c r="K307" s="12" t="s">
        <v>22</v>
      </c>
      <c r="L307" s="13">
        <v>50</v>
      </c>
    </row>
    <row r="308" spans="1:12" s="10" customFormat="1" ht="18" x14ac:dyDescent="0.25">
      <c r="A308" s="11">
        <v>304</v>
      </c>
      <c r="B308" s="12" t="s">
        <v>412</v>
      </c>
      <c r="C308" s="12" t="str">
        <f t="shared" si="10"/>
        <v>140101</v>
      </c>
      <c r="D308" s="12" t="str">
        <f>"14.140101/2024.00492/BC.O."</f>
        <v>14.140101/2024.00492/BC.O.</v>
      </c>
      <c r="E308" s="12" t="str">
        <f>"2000905173"</f>
        <v>2000905173</v>
      </c>
      <c r="F308" s="12" t="str">
        <f>"ESTUCHE/DE DIAGNOSTICO"</f>
        <v>ESTUCHE/DE DIAGNOSTICO</v>
      </c>
      <c r="G308" s="12" t="s">
        <v>19</v>
      </c>
      <c r="H308" s="12" t="s">
        <v>20</v>
      </c>
      <c r="I308" s="12">
        <v>1</v>
      </c>
      <c r="J308" s="12" t="s">
        <v>21</v>
      </c>
      <c r="K308" s="12" t="s">
        <v>22</v>
      </c>
      <c r="L308" s="13">
        <v>50</v>
      </c>
    </row>
    <row r="309" spans="1:12" s="10" customFormat="1" ht="18" x14ac:dyDescent="0.25">
      <c r="A309" s="11">
        <v>305</v>
      </c>
      <c r="B309" s="12" t="s">
        <v>412</v>
      </c>
      <c r="C309" s="12" t="str">
        <f t="shared" si="10"/>
        <v>140101</v>
      </c>
      <c r="D309" s="12" t="str">
        <f>"14.140101/2024.00493/BC.O."</f>
        <v>14.140101/2024.00493/BC.O.</v>
      </c>
      <c r="E309" s="12" t="str">
        <f>"2000930075"</f>
        <v>2000930075</v>
      </c>
      <c r="F309" s="12" t="str">
        <f>"ECOCARDIOGRAFO/PARA ESTUDIO"</f>
        <v>ECOCARDIOGRAFO/PARA ESTUDIO</v>
      </c>
      <c r="G309" s="12" t="s">
        <v>19</v>
      </c>
      <c r="H309" s="12" t="s">
        <v>20</v>
      </c>
      <c r="I309" s="12">
        <v>1</v>
      </c>
      <c r="J309" s="12" t="s">
        <v>21</v>
      </c>
      <c r="K309" s="12" t="s">
        <v>22</v>
      </c>
      <c r="L309" s="13">
        <v>250</v>
      </c>
    </row>
    <row r="310" spans="1:12" s="10" customFormat="1" ht="18" x14ac:dyDescent="0.25">
      <c r="A310" s="11">
        <v>306</v>
      </c>
      <c r="B310" s="12" t="s">
        <v>412</v>
      </c>
      <c r="C310" s="12" t="str">
        <f t="shared" si="10"/>
        <v>140101</v>
      </c>
      <c r="D310" s="12" t="str">
        <f>"14.140101/2024.00481/BC.O."</f>
        <v>14.140101/2024.00481/BC.O.</v>
      </c>
      <c r="E310" s="12" t="str">
        <f>"2000932573"</f>
        <v>2000932573</v>
      </c>
      <c r="F310" s="12" t="str">
        <f>"ESTUCHE/DE DIAGNOSTICO"</f>
        <v>ESTUCHE/DE DIAGNOSTICO</v>
      </c>
      <c r="G310" s="12" t="s">
        <v>19</v>
      </c>
      <c r="H310" s="12" t="s">
        <v>20</v>
      </c>
      <c r="I310" s="12">
        <v>1</v>
      </c>
      <c r="J310" s="12" t="s">
        <v>21</v>
      </c>
      <c r="K310" s="12" t="s">
        <v>22</v>
      </c>
      <c r="L310" s="13">
        <v>50</v>
      </c>
    </row>
    <row r="311" spans="1:12" s="10" customFormat="1" ht="18" x14ac:dyDescent="0.25">
      <c r="A311" s="11">
        <v>307</v>
      </c>
      <c r="B311" s="12" t="s">
        <v>412</v>
      </c>
      <c r="C311" s="12" t="str">
        <f t="shared" si="10"/>
        <v>140101</v>
      </c>
      <c r="D311" s="12" t="str">
        <f>"14.140101/2024.00482/BC.O."</f>
        <v>14.140101/2024.00482/BC.O.</v>
      </c>
      <c r="E311" s="12" t="str">
        <f>"2002993395"</f>
        <v>2002993395</v>
      </c>
      <c r="F311" s="12" t="str">
        <f>"CLINICA (S)/OBSTETRICAS"</f>
        <v>CLINICA (S)/OBSTETRICAS</v>
      </c>
      <c r="G311" s="12" t="s">
        <v>19</v>
      </c>
      <c r="H311" s="12" t="s">
        <v>20</v>
      </c>
      <c r="I311" s="12">
        <v>1</v>
      </c>
      <c r="J311" s="12" t="s">
        <v>21</v>
      </c>
      <c r="K311" s="12" t="s">
        <v>22</v>
      </c>
      <c r="L311" s="13">
        <v>50</v>
      </c>
    </row>
    <row r="312" spans="1:12" s="10" customFormat="1" ht="18" x14ac:dyDescent="0.25">
      <c r="A312" s="11">
        <v>308</v>
      </c>
      <c r="B312" s="12" t="s">
        <v>412</v>
      </c>
      <c r="C312" s="12" t="str">
        <f t="shared" si="10"/>
        <v>140101</v>
      </c>
      <c r="D312" s="12" t="str">
        <f>"14.140101/2024.00483/BC.O."</f>
        <v>14.140101/2024.00483/BC.O.</v>
      </c>
      <c r="E312" s="12" t="str">
        <f>"2003992160"</f>
        <v>2003992160</v>
      </c>
      <c r="F312" s="12" t="str">
        <f>"CLINICA (S)/MEDICAS"</f>
        <v>CLINICA (S)/MEDICAS</v>
      </c>
      <c r="G312" s="12" t="s">
        <v>19</v>
      </c>
      <c r="H312" s="12" t="s">
        <v>20</v>
      </c>
      <c r="I312" s="12">
        <v>1</v>
      </c>
      <c r="J312" s="12" t="s">
        <v>21</v>
      </c>
      <c r="K312" s="12" t="s">
        <v>22</v>
      </c>
      <c r="L312" s="13">
        <v>50</v>
      </c>
    </row>
    <row r="313" spans="1:12" s="10" customFormat="1" ht="18" x14ac:dyDescent="0.25">
      <c r="A313" s="11">
        <v>309</v>
      </c>
      <c r="B313" s="12" t="s">
        <v>412</v>
      </c>
      <c r="C313" s="12" t="str">
        <f t="shared" si="10"/>
        <v>140101</v>
      </c>
      <c r="D313" s="12" t="str">
        <f>"14.140101/2024.00484/BC.O."</f>
        <v>14.140101/2024.00484/BC.O.</v>
      </c>
      <c r="E313" s="12" t="str">
        <f>"2003992161"</f>
        <v>2003992161</v>
      </c>
      <c r="F313" s="12" t="str">
        <f>"CLINICA (S)/QUIRURGICAS"</f>
        <v>CLINICA (S)/QUIRURGICAS</v>
      </c>
      <c r="G313" s="12" t="s">
        <v>19</v>
      </c>
      <c r="H313" s="12" t="s">
        <v>20</v>
      </c>
      <c r="I313" s="12">
        <v>1</v>
      </c>
      <c r="J313" s="12" t="s">
        <v>21</v>
      </c>
      <c r="K313" s="12" t="s">
        <v>22</v>
      </c>
      <c r="L313" s="13">
        <v>50</v>
      </c>
    </row>
    <row r="314" spans="1:12" s="10" customFormat="1" ht="18" x14ac:dyDescent="0.25">
      <c r="A314" s="11">
        <v>310</v>
      </c>
      <c r="B314" s="12" t="s">
        <v>412</v>
      </c>
      <c r="C314" s="12" t="str">
        <f t="shared" si="10"/>
        <v>140101</v>
      </c>
      <c r="D314" s="12" t="str">
        <f>"14.140101/2024.00495/BC.O."</f>
        <v>14.140101/2024.00495/BC.O.</v>
      </c>
      <c r="E314" s="12" t="str">
        <f>"200400029742"</f>
        <v>200400029742</v>
      </c>
      <c r="F314" s="12" t="str">
        <f>"ESCRITORIO/PEDESTAL DERECHO/LATERAL IZQUIERDO"</f>
        <v>ESCRITORIO/PEDESTAL DERECHO/LATERAL IZQUIERDO</v>
      </c>
      <c r="G314" s="12" t="s">
        <v>19</v>
      </c>
      <c r="H314" s="12" t="s">
        <v>20</v>
      </c>
      <c r="I314" s="12">
        <v>1</v>
      </c>
      <c r="J314" s="12" t="s">
        <v>21</v>
      </c>
      <c r="K314" s="12" t="s">
        <v>22</v>
      </c>
      <c r="L314" s="13">
        <v>50</v>
      </c>
    </row>
    <row r="315" spans="1:12" s="10" customFormat="1" ht="18" x14ac:dyDescent="0.25">
      <c r="A315" s="11">
        <v>311</v>
      </c>
      <c r="B315" s="12" t="s">
        <v>412</v>
      </c>
      <c r="C315" s="12" t="str">
        <f t="shared" si="10"/>
        <v>140101</v>
      </c>
      <c r="D315" s="12" t="str">
        <f>"14.140101/2024.00496/BC.O."</f>
        <v>14.140101/2024.00496/BC.O.</v>
      </c>
      <c r="E315" s="12" t="str">
        <f>"200980006351"</f>
        <v>200980006351</v>
      </c>
      <c r="F315" s="12" t="str">
        <f>"MICROTOMO/PARA CORTES EN PARAFINA"</f>
        <v>MICROTOMO/PARA CORTES EN PARAFINA</v>
      </c>
      <c r="G315" s="12" t="s">
        <v>19</v>
      </c>
      <c r="H315" s="12" t="s">
        <v>20</v>
      </c>
      <c r="I315" s="12">
        <v>1</v>
      </c>
      <c r="J315" s="12" t="s">
        <v>21</v>
      </c>
      <c r="K315" s="12" t="s">
        <v>22</v>
      </c>
      <c r="L315" s="13">
        <v>70</v>
      </c>
    </row>
    <row r="316" spans="1:12" s="10" customFormat="1" ht="18" x14ac:dyDescent="0.25">
      <c r="A316" s="11">
        <v>312</v>
      </c>
      <c r="B316" s="12" t="s">
        <v>412</v>
      </c>
      <c r="C316" s="12" t="str">
        <f t="shared" si="10"/>
        <v>140101</v>
      </c>
      <c r="D316" s="12" t="str">
        <f>"14.140101/2024.00497/BC.O."</f>
        <v>14.140101/2024.00497/BC.O.</v>
      </c>
      <c r="E316" s="12" t="str">
        <f>"201900001308"</f>
        <v>201900001308</v>
      </c>
      <c r="F316" s="12" t="str">
        <f>"SILLA/PLEGADIZA"</f>
        <v>SILLA/PLEGADIZA</v>
      </c>
      <c r="G316" s="12" t="s">
        <v>19</v>
      </c>
      <c r="H316" s="12" t="s">
        <v>20</v>
      </c>
      <c r="I316" s="12">
        <v>1</v>
      </c>
      <c r="J316" s="12" t="s">
        <v>21</v>
      </c>
      <c r="K316" s="12" t="s">
        <v>22</v>
      </c>
      <c r="L316" s="13">
        <v>25</v>
      </c>
    </row>
    <row r="317" spans="1:12" s="10" customFormat="1" ht="18" x14ac:dyDescent="0.25">
      <c r="A317" s="11">
        <v>313</v>
      </c>
      <c r="B317" s="12" t="s">
        <v>412</v>
      </c>
      <c r="C317" s="12" t="str">
        <f t="shared" si="10"/>
        <v>140101</v>
      </c>
      <c r="D317" s="12" t="str">
        <f>"14.140101/2024.00498/BC.O."</f>
        <v>14.140101/2024.00498/BC.O.</v>
      </c>
      <c r="E317" s="12" t="str">
        <f>"202200000289"</f>
        <v>202200000289</v>
      </c>
      <c r="F317" s="12" t="str">
        <f t="shared" ref="F317:F322" si="11">"MOBILIARIO DE SALA DE ESPERA Y OTROS"</f>
        <v>MOBILIARIO DE SALA DE ESPERA Y OTROS</v>
      </c>
      <c r="G317" s="12" t="s">
        <v>19</v>
      </c>
      <c r="H317" s="12" t="s">
        <v>20</v>
      </c>
      <c r="I317" s="12">
        <v>1</v>
      </c>
      <c r="J317" s="12" t="s">
        <v>21</v>
      </c>
      <c r="K317" s="12" t="s">
        <v>22</v>
      </c>
      <c r="L317" s="13">
        <v>50</v>
      </c>
    </row>
    <row r="318" spans="1:12" s="10" customFormat="1" ht="18" x14ac:dyDescent="0.25">
      <c r="A318" s="11">
        <v>314</v>
      </c>
      <c r="B318" s="12" t="s">
        <v>412</v>
      </c>
      <c r="C318" s="12" t="str">
        <f t="shared" si="10"/>
        <v>140101</v>
      </c>
      <c r="D318" s="12" t="str">
        <f>"14.140101/2024.00499/BC.O."</f>
        <v>14.140101/2024.00499/BC.O.</v>
      </c>
      <c r="E318" s="12" t="str">
        <f>"202200000290"</f>
        <v>202200000290</v>
      </c>
      <c r="F318" s="12" t="str">
        <f t="shared" si="11"/>
        <v>MOBILIARIO DE SALA DE ESPERA Y OTROS</v>
      </c>
      <c r="G318" s="12" t="s">
        <v>19</v>
      </c>
      <c r="H318" s="12" t="s">
        <v>20</v>
      </c>
      <c r="I318" s="12">
        <v>1</v>
      </c>
      <c r="J318" s="12" t="s">
        <v>21</v>
      </c>
      <c r="K318" s="12" t="s">
        <v>22</v>
      </c>
      <c r="L318" s="13">
        <v>50</v>
      </c>
    </row>
    <row r="319" spans="1:12" s="10" customFormat="1" ht="18" x14ac:dyDescent="0.25">
      <c r="A319" s="11">
        <v>315</v>
      </c>
      <c r="B319" s="12" t="s">
        <v>412</v>
      </c>
      <c r="C319" s="12" t="str">
        <f t="shared" si="10"/>
        <v>140101</v>
      </c>
      <c r="D319" s="12" t="str">
        <f>"14.140101/2024.00500/BC.O."</f>
        <v>14.140101/2024.00500/BC.O.</v>
      </c>
      <c r="E319" s="12" t="str">
        <f>"202200000291"</f>
        <v>202200000291</v>
      </c>
      <c r="F319" s="12" t="str">
        <f t="shared" si="11"/>
        <v>MOBILIARIO DE SALA DE ESPERA Y OTROS</v>
      </c>
      <c r="G319" s="12" t="s">
        <v>19</v>
      </c>
      <c r="H319" s="12" t="s">
        <v>20</v>
      </c>
      <c r="I319" s="12">
        <v>1</v>
      </c>
      <c r="J319" s="12" t="s">
        <v>21</v>
      </c>
      <c r="K319" s="12" t="s">
        <v>22</v>
      </c>
      <c r="L319" s="13">
        <v>50</v>
      </c>
    </row>
    <row r="320" spans="1:12" s="10" customFormat="1" ht="18" x14ac:dyDescent="0.25">
      <c r="A320" s="11">
        <v>316</v>
      </c>
      <c r="B320" s="12" t="s">
        <v>412</v>
      </c>
      <c r="C320" s="12" t="str">
        <f t="shared" si="10"/>
        <v>140101</v>
      </c>
      <c r="D320" s="12" t="str">
        <f>"14.140101/2024.00501/BC.O."</f>
        <v>14.140101/2024.00501/BC.O.</v>
      </c>
      <c r="E320" s="12" t="str">
        <f>"202200000292"</f>
        <v>202200000292</v>
      </c>
      <c r="F320" s="12" t="str">
        <f t="shared" si="11"/>
        <v>MOBILIARIO DE SALA DE ESPERA Y OTROS</v>
      </c>
      <c r="G320" s="12" t="s">
        <v>19</v>
      </c>
      <c r="H320" s="12" t="s">
        <v>20</v>
      </c>
      <c r="I320" s="12">
        <v>1</v>
      </c>
      <c r="J320" s="12" t="s">
        <v>21</v>
      </c>
      <c r="K320" s="12" t="s">
        <v>22</v>
      </c>
      <c r="L320" s="13">
        <v>50</v>
      </c>
    </row>
    <row r="321" spans="1:12" s="10" customFormat="1" ht="18" x14ac:dyDescent="0.25">
      <c r="A321" s="11">
        <v>317</v>
      </c>
      <c r="B321" s="12" t="s">
        <v>412</v>
      </c>
      <c r="C321" s="12" t="str">
        <f t="shared" si="10"/>
        <v>140101</v>
      </c>
      <c r="D321" s="12" t="str">
        <f>"14.140101/2024.00502/BC.O."</f>
        <v>14.140101/2024.00502/BC.O.</v>
      </c>
      <c r="E321" s="12" t="str">
        <f>"202200000293"</f>
        <v>202200000293</v>
      </c>
      <c r="F321" s="12" t="str">
        <f t="shared" si="11"/>
        <v>MOBILIARIO DE SALA DE ESPERA Y OTROS</v>
      </c>
      <c r="G321" s="12" t="s">
        <v>19</v>
      </c>
      <c r="H321" s="12" t="s">
        <v>20</v>
      </c>
      <c r="I321" s="12">
        <v>1</v>
      </c>
      <c r="J321" s="12" t="s">
        <v>21</v>
      </c>
      <c r="K321" s="12" t="s">
        <v>22</v>
      </c>
      <c r="L321" s="13">
        <v>50</v>
      </c>
    </row>
    <row r="322" spans="1:12" s="10" customFormat="1" ht="18" x14ac:dyDescent="0.25">
      <c r="A322" s="11">
        <v>318</v>
      </c>
      <c r="B322" s="12" t="s">
        <v>412</v>
      </c>
      <c r="C322" s="12" t="str">
        <f t="shared" si="10"/>
        <v>140101</v>
      </c>
      <c r="D322" s="12" t="str">
        <f>"14.140101/2024.00503/BC.O."</f>
        <v>14.140101/2024.00503/BC.O.</v>
      </c>
      <c r="E322" s="12" t="str">
        <f>"202200000294"</f>
        <v>202200000294</v>
      </c>
      <c r="F322" s="12" t="str">
        <f t="shared" si="11"/>
        <v>MOBILIARIO DE SALA DE ESPERA Y OTROS</v>
      </c>
      <c r="G322" s="12" t="s">
        <v>19</v>
      </c>
      <c r="H322" s="12" t="s">
        <v>20</v>
      </c>
      <c r="I322" s="12">
        <v>1</v>
      </c>
      <c r="J322" s="12" t="s">
        <v>21</v>
      </c>
      <c r="K322" s="12" t="s">
        <v>22</v>
      </c>
      <c r="L322" s="13">
        <v>50</v>
      </c>
    </row>
    <row r="323" spans="1:12" s="10" customFormat="1" ht="18" x14ac:dyDescent="0.25">
      <c r="A323" s="11">
        <v>319</v>
      </c>
      <c r="B323" s="12" t="s">
        <v>413</v>
      </c>
      <c r="C323" s="12">
        <v>140404</v>
      </c>
      <c r="D323" s="12" t="s">
        <v>414</v>
      </c>
      <c r="E323" s="21">
        <v>200680002592</v>
      </c>
      <c r="F323" s="12" t="s">
        <v>374</v>
      </c>
      <c r="G323" s="12" t="s">
        <v>19</v>
      </c>
      <c r="H323" s="12" t="s">
        <v>20</v>
      </c>
      <c r="I323" s="12">
        <v>1</v>
      </c>
      <c r="J323" s="12" t="s">
        <v>21</v>
      </c>
      <c r="K323" s="12" t="s">
        <v>22</v>
      </c>
      <c r="L323" s="13">
        <v>35</v>
      </c>
    </row>
    <row r="324" spans="1:12" s="10" customFormat="1" ht="18" x14ac:dyDescent="0.25">
      <c r="A324" s="11">
        <v>320</v>
      </c>
      <c r="B324" s="12" t="s">
        <v>413</v>
      </c>
      <c r="C324" s="12">
        <v>140404</v>
      </c>
      <c r="D324" s="12" t="s">
        <v>415</v>
      </c>
      <c r="E324" s="21">
        <v>200880020455</v>
      </c>
      <c r="F324" s="12" t="s">
        <v>374</v>
      </c>
      <c r="G324" s="12" t="s">
        <v>19</v>
      </c>
      <c r="H324" s="12" t="s">
        <v>20</v>
      </c>
      <c r="I324" s="12">
        <v>1</v>
      </c>
      <c r="J324" s="12" t="s">
        <v>21</v>
      </c>
      <c r="K324" s="12" t="s">
        <v>22</v>
      </c>
      <c r="L324" s="13">
        <v>35</v>
      </c>
    </row>
    <row r="325" spans="1:12" s="10" customFormat="1" ht="18" x14ac:dyDescent="0.25">
      <c r="A325" s="11">
        <v>321</v>
      </c>
      <c r="B325" s="12" t="s">
        <v>413</v>
      </c>
      <c r="C325" s="12">
        <v>140404</v>
      </c>
      <c r="D325" s="12" t="s">
        <v>416</v>
      </c>
      <c r="E325" s="21">
        <v>200880020457</v>
      </c>
      <c r="F325" s="12" t="s">
        <v>374</v>
      </c>
      <c r="G325" s="12" t="s">
        <v>19</v>
      </c>
      <c r="H325" s="12" t="s">
        <v>20</v>
      </c>
      <c r="I325" s="12">
        <v>1</v>
      </c>
      <c r="J325" s="12" t="s">
        <v>21</v>
      </c>
      <c r="K325" s="12" t="s">
        <v>22</v>
      </c>
      <c r="L325" s="13">
        <v>35</v>
      </c>
    </row>
    <row r="326" spans="1:12" s="10" customFormat="1" ht="18" x14ac:dyDescent="0.25">
      <c r="A326" s="11">
        <v>322</v>
      </c>
      <c r="B326" s="12" t="s">
        <v>413</v>
      </c>
      <c r="C326" s="12">
        <v>140404</v>
      </c>
      <c r="D326" s="12" t="s">
        <v>417</v>
      </c>
      <c r="E326" s="21">
        <v>200880020811</v>
      </c>
      <c r="F326" s="12" t="s">
        <v>374</v>
      </c>
      <c r="G326" s="12" t="s">
        <v>19</v>
      </c>
      <c r="H326" s="12" t="s">
        <v>20</v>
      </c>
      <c r="I326" s="12">
        <v>1</v>
      </c>
      <c r="J326" s="12" t="s">
        <v>21</v>
      </c>
      <c r="K326" s="12" t="s">
        <v>22</v>
      </c>
      <c r="L326" s="13">
        <v>35</v>
      </c>
    </row>
    <row r="327" spans="1:12" s="10" customFormat="1" ht="18" x14ac:dyDescent="0.25">
      <c r="A327" s="11">
        <v>323</v>
      </c>
      <c r="B327" s="12" t="s">
        <v>413</v>
      </c>
      <c r="C327" s="12">
        <v>140404</v>
      </c>
      <c r="D327" s="12" t="s">
        <v>418</v>
      </c>
      <c r="E327" s="21">
        <v>201080026141</v>
      </c>
      <c r="F327" s="12" t="s">
        <v>374</v>
      </c>
      <c r="G327" s="12" t="s">
        <v>19</v>
      </c>
      <c r="H327" s="12" t="s">
        <v>20</v>
      </c>
      <c r="I327" s="12">
        <v>1</v>
      </c>
      <c r="J327" s="12" t="s">
        <v>21</v>
      </c>
      <c r="K327" s="12" t="s">
        <v>22</v>
      </c>
      <c r="L327" s="13">
        <v>35</v>
      </c>
    </row>
    <row r="328" spans="1:12" s="10" customFormat="1" ht="18" x14ac:dyDescent="0.25">
      <c r="A328" s="11">
        <v>324</v>
      </c>
      <c r="B328" s="12" t="s">
        <v>413</v>
      </c>
      <c r="C328" s="12">
        <v>140404</v>
      </c>
      <c r="D328" s="12" t="s">
        <v>419</v>
      </c>
      <c r="E328" s="21">
        <v>201080033914</v>
      </c>
      <c r="F328" s="12" t="s">
        <v>374</v>
      </c>
      <c r="G328" s="12" t="s">
        <v>19</v>
      </c>
      <c r="H328" s="12" t="s">
        <v>20</v>
      </c>
      <c r="I328" s="12">
        <v>1</v>
      </c>
      <c r="J328" s="12" t="s">
        <v>21</v>
      </c>
      <c r="K328" s="12" t="s">
        <v>22</v>
      </c>
      <c r="L328" s="13">
        <v>35</v>
      </c>
    </row>
    <row r="329" spans="1:12" s="10" customFormat="1" ht="18" x14ac:dyDescent="0.25">
      <c r="A329" s="11">
        <v>325</v>
      </c>
      <c r="B329" s="12" t="s">
        <v>413</v>
      </c>
      <c r="C329" s="12">
        <v>140404</v>
      </c>
      <c r="D329" s="12" t="s">
        <v>420</v>
      </c>
      <c r="E329" s="21">
        <v>201080033976</v>
      </c>
      <c r="F329" s="12" t="s">
        <v>374</v>
      </c>
      <c r="G329" s="12" t="s">
        <v>19</v>
      </c>
      <c r="H329" s="12" t="s">
        <v>20</v>
      </c>
      <c r="I329" s="12">
        <v>1</v>
      </c>
      <c r="J329" s="12" t="s">
        <v>21</v>
      </c>
      <c r="K329" s="12" t="s">
        <v>22</v>
      </c>
      <c r="L329" s="13">
        <v>35</v>
      </c>
    </row>
    <row r="330" spans="1:12" s="10" customFormat="1" ht="18" x14ac:dyDescent="0.25">
      <c r="A330" s="11">
        <v>326</v>
      </c>
      <c r="B330" s="12" t="s">
        <v>413</v>
      </c>
      <c r="C330" s="12">
        <v>140404</v>
      </c>
      <c r="D330" s="12" t="s">
        <v>421</v>
      </c>
      <c r="E330" s="21">
        <v>201080033984</v>
      </c>
      <c r="F330" s="12" t="s">
        <v>374</v>
      </c>
      <c r="G330" s="12" t="s">
        <v>19</v>
      </c>
      <c r="H330" s="12" t="s">
        <v>20</v>
      </c>
      <c r="I330" s="12">
        <v>1</v>
      </c>
      <c r="J330" s="12" t="s">
        <v>21</v>
      </c>
      <c r="K330" s="12" t="s">
        <v>22</v>
      </c>
      <c r="L330" s="13">
        <v>35</v>
      </c>
    </row>
    <row r="331" spans="1:12" s="10" customFormat="1" ht="18" x14ac:dyDescent="0.25">
      <c r="A331" s="11">
        <v>327</v>
      </c>
      <c r="B331" s="12" t="s">
        <v>413</v>
      </c>
      <c r="C331" s="12">
        <v>140404</v>
      </c>
      <c r="D331" s="12" t="s">
        <v>422</v>
      </c>
      <c r="E331" s="21">
        <v>201080033985</v>
      </c>
      <c r="F331" s="12" t="s">
        <v>374</v>
      </c>
      <c r="G331" s="12" t="s">
        <v>19</v>
      </c>
      <c r="H331" s="12" t="s">
        <v>20</v>
      </c>
      <c r="I331" s="12">
        <v>1</v>
      </c>
      <c r="J331" s="12" t="s">
        <v>21</v>
      </c>
      <c r="K331" s="12" t="s">
        <v>22</v>
      </c>
      <c r="L331" s="13">
        <v>35</v>
      </c>
    </row>
    <row r="332" spans="1:12" s="10" customFormat="1" ht="18" x14ac:dyDescent="0.25">
      <c r="A332" s="11">
        <v>328</v>
      </c>
      <c r="B332" s="12" t="s">
        <v>413</v>
      </c>
      <c r="C332" s="12">
        <v>140404</v>
      </c>
      <c r="D332" s="12" t="s">
        <v>423</v>
      </c>
      <c r="E332" s="21">
        <v>201080033989</v>
      </c>
      <c r="F332" s="12" t="s">
        <v>374</v>
      </c>
      <c r="G332" s="12" t="s">
        <v>19</v>
      </c>
      <c r="H332" s="12" t="s">
        <v>20</v>
      </c>
      <c r="I332" s="12">
        <v>1</v>
      </c>
      <c r="J332" s="12" t="s">
        <v>21</v>
      </c>
      <c r="K332" s="12" t="s">
        <v>22</v>
      </c>
      <c r="L332" s="13">
        <v>35</v>
      </c>
    </row>
    <row r="333" spans="1:12" s="10" customFormat="1" ht="18" x14ac:dyDescent="0.25">
      <c r="A333" s="11">
        <v>329</v>
      </c>
      <c r="B333" s="12" t="s">
        <v>413</v>
      </c>
      <c r="C333" s="12">
        <v>140404</v>
      </c>
      <c r="D333" s="12" t="s">
        <v>424</v>
      </c>
      <c r="E333" s="21">
        <v>201080033996</v>
      </c>
      <c r="F333" s="12" t="s">
        <v>374</v>
      </c>
      <c r="G333" s="12" t="s">
        <v>19</v>
      </c>
      <c r="H333" s="12" t="s">
        <v>20</v>
      </c>
      <c r="I333" s="12">
        <v>1</v>
      </c>
      <c r="J333" s="12" t="s">
        <v>21</v>
      </c>
      <c r="K333" s="12" t="s">
        <v>22</v>
      </c>
      <c r="L333" s="13">
        <v>35</v>
      </c>
    </row>
    <row r="334" spans="1:12" s="10" customFormat="1" ht="18" x14ac:dyDescent="0.25">
      <c r="A334" s="11">
        <v>330</v>
      </c>
      <c r="B334" s="12" t="s">
        <v>413</v>
      </c>
      <c r="C334" s="12">
        <v>140404</v>
      </c>
      <c r="D334" s="12" t="s">
        <v>425</v>
      </c>
      <c r="E334" s="21">
        <v>201080033997</v>
      </c>
      <c r="F334" s="12" t="s">
        <v>374</v>
      </c>
      <c r="G334" s="12" t="s">
        <v>19</v>
      </c>
      <c r="H334" s="12" t="s">
        <v>20</v>
      </c>
      <c r="I334" s="12">
        <v>1</v>
      </c>
      <c r="J334" s="12" t="s">
        <v>21</v>
      </c>
      <c r="K334" s="12" t="s">
        <v>22</v>
      </c>
      <c r="L334" s="13">
        <v>35</v>
      </c>
    </row>
    <row r="335" spans="1:12" s="10" customFormat="1" ht="18" x14ac:dyDescent="0.25">
      <c r="A335" s="11">
        <v>331</v>
      </c>
      <c r="B335" s="12" t="s">
        <v>413</v>
      </c>
      <c r="C335" s="12">
        <v>140404</v>
      </c>
      <c r="D335" s="12" t="s">
        <v>426</v>
      </c>
      <c r="E335" s="21">
        <v>201080033998</v>
      </c>
      <c r="F335" s="12" t="s">
        <v>374</v>
      </c>
      <c r="G335" s="12" t="s">
        <v>19</v>
      </c>
      <c r="H335" s="12" t="s">
        <v>20</v>
      </c>
      <c r="I335" s="12">
        <v>1</v>
      </c>
      <c r="J335" s="12" t="s">
        <v>21</v>
      </c>
      <c r="K335" s="12" t="s">
        <v>22</v>
      </c>
      <c r="L335" s="13">
        <v>35</v>
      </c>
    </row>
    <row r="336" spans="1:12" s="10" customFormat="1" ht="18" x14ac:dyDescent="0.25">
      <c r="A336" s="11">
        <v>332</v>
      </c>
      <c r="B336" s="12" t="s">
        <v>413</v>
      </c>
      <c r="C336" s="12">
        <v>140404</v>
      </c>
      <c r="D336" s="12" t="s">
        <v>427</v>
      </c>
      <c r="E336" s="21">
        <v>201080034011</v>
      </c>
      <c r="F336" s="12" t="s">
        <v>374</v>
      </c>
      <c r="G336" s="12" t="s">
        <v>19</v>
      </c>
      <c r="H336" s="12" t="s">
        <v>20</v>
      </c>
      <c r="I336" s="12">
        <v>1</v>
      </c>
      <c r="J336" s="12" t="s">
        <v>21</v>
      </c>
      <c r="K336" s="12" t="s">
        <v>22</v>
      </c>
      <c r="L336" s="13">
        <v>35</v>
      </c>
    </row>
    <row r="337" spans="1:12" s="10" customFormat="1" ht="18" x14ac:dyDescent="0.25">
      <c r="A337" s="11">
        <v>333</v>
      </c>
      <c r="B337" s="12" t="s">
        <v>413</v>
      </c>
      <c r="C337" s="12">
        <v>140404</v>
      </c>
      <c r="D337" s="12" t="s">
        <v>428</v>
      </c>
      <c r="E337" s="21">
        <v>201080034216</v>
      </c>
      <c r="F337" s="12" t="s">
        <v>374</v>
      </c>
      <c r="G337" s="12" t="s">
        <v>19</v>
      </c>
      <c r="H337" s="12" t="s">
        <v>20</v>
      </c>
      <c r="I337" s="12">
        <v>1</v>
      </c>
      <c r="J337" s="12" t="s">
        <v>21</v>
      </c>
      <c r="K337" s="12" t="s">
        <v>22</v>
      </c>
      <c r="L337" s="13">
        <v>35</v>
      </c>
    </row>
    <row r="338" spans="1:12" s="10" customFormat="1" ht="18" x14ac:dyDescent="0.25">
      <c r="A338" s="11">
        <v>334</v>
      </c>
      <c r="B338" s="12" t="s">
        <v>413</v>
      </c>
      <c r="C338" s="12">
        <v>140404</v>
      </c>
      <c r="D338" s="12" t="s">
        <v>429</v>
      </c>
      <c r="E338" s="21">
        <v>201080034220</v>
      </c>
      <c r="F338" s="12" t="s">
        <v>374</v>
      </c>
      <c r="G338" s="12" t="s">
        <v>19</v>
      </c>
      <c r="H338" s="12" t="s">
        <v>20</v>
      </c>
      <c r="I338" s="12">
        <v>1</v>
      </c>
      <c r="J338" s="12" t="s">
        <v>21</v>
      </c>
      <c r="K338" s="12" t="s">
        <v>22</v>
      </c>
      <c r="L338" s="13">
        <v>35</v>
      </c>
    </row>
    <row r="339" spans="1:12" s="10" customFormat="1" ht="18" x14ac:dyDescent="0.25">
      <c r="A339" s="11">
        <v>335</v>
      </c>
      <c r="B339" s="12" t="s">
        <v>413</v>
      </c>
      <c r="C339" s="12">
        <v>140404</v>
      </c>
      <c r="D339" s="12" t="s">
        <v>430</v>
      </c>
      <c r="E339" s="21">
        <v>201080034228</v>
      </c>
      <c r="F339" s="12" t="s">
        <v>374</v>
      </c>
      <c r="G339" s="12" t="s">
        <v>19</v>
      </c>
      <c r="H339" s="12" t="s">
        <v>20</v>
      </c>
      <c r="I339" s="12">
        <v>1</v>
      </c>
      <c r="J339" s="12" t="s">
        <v>21</v>
      </c>
      <c r="K339" s="12" t="s">
        <v>22</v>
      </c>
      <c r="L339" s="13">
        <v>35</v>
      </c>
    </row>
    <row r="340" spans="1:12" s="10" customFormat="1" ht="18" x14ac:dyDescent="0.25">
      <c r="A340" s="11">
        <v>336</v>
      </c>
      <c r="B340" s="12" t="s">
        <v>413</v>
      </c>
      <c r="C340" s="12">
        <v>140404</v>
      </c>
      <c r="D340" s="12" t="s">
        <v>431</v>
      </c>
      <c r="E340" s="21">
        <v>201080034236</v>
      </c>
      <c r="F340" s="12" t="s">
        <v>374</v>
      </c>
      <c r="G340" s="12" t="s">
        <v>19</v>
      </c>
      <c r="H340" s="12" t="s">
        <v>20</v>
      </c>
      <c r="I340" s="12">
        <v>1</v>
      </c>
      <c r="J340" s="12" t="s">
        <v>21</v>
      </c>
      <c r="K340" s="12" t="s">
        <v>22</v>
      </c>
      <c r="L340" s="13">
        <v>35</v>
      </c>
    </row>
    <row r="341" spans="1:12" s="10" customFormat="1" ht="18" x14ac:dyDescent="0.25">
      <c r="A341" s="11">
        <v>337</v>
      </c>
      <c r="B341" s="12" t="s">
        <v>413</v>
      </c>
      <c r="C341" s="12">
        <v>140404</v>
      </c>
      <c r="D341" s="12" t="s">
        <v>432</v>
      </c>
      <c r="E341" s="21">
        <v>201080053830</v>
      </c>
      <c r="F341" s="12" t="s">
        <v>374</v>
      </c>
      <c r="G341" s="12" t="s">
        <v>19</v>
      </c>
      <c r="H341" s="12" t="s">
        <v>20</v>
      </c>
      <c r="I341" s="12">
        <v>1</v>
      </c>
      <c r="J341" s="12" t="s">
        <v>21</v>
      </c>
      <c r="K341" s="12" t="s">
        <v>22</v>
      </c>
      <c r="L341" s="13">
        <v>35</v>
      </c>
    </row>
    <row r="342" spans="1:12" s="10" customFormat="1" ht="18" x14ac:dyDescent="0.25">
      <c r="A342" s="11">
        <v>338</v>
      </c>
      <c r="B342" s="12" t="s">
        <v>413</v>
      </c>
      <c r="C342" s="12">
        <v>140404</v>
      </c>
      <c r="D342" s="12" t="s">
        <v>433</v>
      </c>
      <c r="E342" s="21">
        <v>201080053835</v>
      </c>
      <c r="F342" s="12" t="s">
        <v>374</v>
      </c>
      <c r="G342" s="12" t="s">
        <v>19</v>
      </c>
      <c r="H342" s="12" t="s">
        <v>20</v>
      </c>
      <c r="I342" s="12">
        <v>1</v>
      </c>
      <c r="J342" s="12" t="s">
        <v>21</v>
      </c>
      <c r="K342" s="12" t="s">
        <v>22</v>
      </c>
      <c r="L342" s="13">
        <v>35</v>
      </c>
    </row>
    <row r="343" spans="1:12" s="10" customFormat="1" ht="18" x14ac:dyDescent="0.25">
      <c r="A343" s="11">
        <v>339</v>
      </c>
      <c r="B343" s="12" t="s">
        <v>413</v>
      </c>
      <c r="C343" s="12">
        <v>140404</v>
      </c>
      <c r="D343" s="12" t="s">
        <v>434</v>
      </c>
      <c r="E343" s="21">
        <v>201080053891</v>
      </c>
      <c r="F343" s="12" t="s">
        <v>374</v>
      </c>
      <c r="G343" s="12" t="s">
        <v>19</v>
      </c>
      <c r="H343" s="12" t="s">
        <v>20</v>
      </c>
      <c r="I343" s="12">
        <v>1</v>
      </c>
      <c r="J343" s="12" t="s">
        <v>21</v>
      </c>
      <c r="K343" s="12" t="s">
        <v>22</v>
      </c>
      <c r="L343" s="13">
        <v>35</v>
      </c>
    </row>
    <row r="344" spans="1:12" s="10" customFormat="1" ht="18" x14ac:dyDescent="0.25">
      <c r="A344" s="11">
        <v>340</v>
      </c>
      <c r="B344" s="12" t="s">
        <v>413</v>
      </c>
      <c r="C344" s="12">
        <v>140404</v>
      </c>
      <c r="D344" s="12" t="s">
        <v>435</v>
      </c>
      <c r="E344" s="21">
        <v>201080054037</v>
      </c>
      <c r="F344" s="12" t="s">
        <v>374</v>
      </c>
      <c r="G344" s="12" t="s">
        <v>19</v>
      </c>
      <c r="H344" s="12" t="s">
        <v>20</v>
      </c>
      <c r="I344" s="12">
        <v>1</v>
      </c>
      <c r="J344" s="12" t="s">
        <v>21</v>
      </c>
      <c r="K344" s="12" t="s">
        <v>22</v>
      </c>
      <c r="L344" s="13">
        <v>35</v>
      </c>
    </row>
    <row r="345" spans="1:12" s="10" customFormat="1" ht="18" x14ac:dyDescent="0.25">
      <c r="A345" s="11">
        <v>341</v>
      </c>
      <c r="B345" s="12" t="s">
        <v>413</v>
      </c>
      <c r="C345" s="12">
        <v>140404</v>
      </c>
      <c r="D345" s="12" t="s">
        <v>436</v>
      </c>
      <c r="E345" s="21">
        <v>201080059057</v>
      </c>
      <c r="F345" s="12" t="s">
        <v>374</v>
      </c>
      <c r="G345" s="12" t="s">
        <v>19</v>
      </c>
      <c r="H345" s="12" t="s">
        <v>20</v>
      </c>
      <c r="I345" s="12">
        <v>1</v>
      </c>
      <c r="J345" s="12" t="s">
        <v>21</v>
      </c>
      <c r="K345" s="12" t="s">
        <v>22</v>
      </c>
      <c r="L345" s="13">
        <v>35</v>
      </c>
    </row>
    <row r="346" spans="1:12" s="10" customFormat="1" ht="18" x14ac:dyDescent="0.25">
      <c r="A346" s="11">
        <v>342</v>
      </c>
      <c r="B346" s="12" t="s">
        <v>413</v>
      </c>
      <c r="C346" s="12">
        <v>140404</v>
      </c>
      <c r="D346" s="12" t="s">
        <v>437</v>
      </c>
      <c r="E346" s="21">
        <v>201080059500</v>
      </c>
      <c r="F346" s="12" t="s">
        <v>374</v>
      </c>
      <c r="G346" s="12" t="s">
        <v>19</v>
      </c>
      <c r="H346" s="12" t="s">
        <v>20</v>
      </c>
      <c r="I346" s="12">
        <v>1</v>
      </c>
      <c r="J346" s="12" t="s">
        <v>21</v>
      </c>
      <c r="K346" s="12" t="s">
        <v>22</v>
      </c>
      <c r="L346" s="13">
        <v>35</v>
      </c>
    </row>
    <row r="347" spans="1:12" s="10" customFormat="1" ht="18" x14ac:dyDescent="0.25">
      <c r="A347" s="11">
        <v>343</v>
      </c>
      <c r="B347" s="12" t="s">
        <v>413</v>
      </c>
      <c r="C347" s="12">
        <v>140404</v>
      </c>
      <c r="D347" s="12" t="s">
        <v>438</v>
      </c>
      <c r="E347" s="21">
        <v>201080059826</v>
      </c>
      <c r="F347" s="12" t="s">
        <v>374</v>
      </c>
      <c r="G347" s="12" t="s">
        <v>19</v>
      </c>
      <c r="H347" s="12" t="s">
        <v>20</v>
      </c>
      <c r="I347" s="12">
        <v>1</v>
      </c>
      <c r="J347" s="12" t="s">
        <v>21</v>
      </c>
      <c r="K347" s="12" t="s">
        <v>22</v>
      </c>
      <c r="L347" s="13">
        <v>35</v>
      </c>
    </row>
    <row r="348" spans="1:12" s="10" customFormat="1" ht="18" x14ac:dyDescent="0.25">
      <c r="A348" s="11">
        <v>344</v>
      </c>
      <c r="B348" s="12" t="s">
        <v>413</v>
      </c>
      <c r="C348" s="12">
        <v>140404</v>
      </c>
      <c r="D348" s="12" t="s">
        <v>439</v>
      </c>
      <c r="E348" s="21">
        <v>201080076006</v>
      </c>
      <c r="F348" s="12" t="s">
        <v>374</v>
      </c>
      <c r="G348" s="12" t="s">
        <v>19</v>
      </c>
      <c r="H348" s="12" t="s">
        <v>20</v>
      </c>
      <c r="I348" s="12">
        <v>1</v>
      </c>
      <c r="J348" s="12" t="s">
        <v>21</v>
      </c>
      <c r="K348" s="12" t="s">
        <v>22</v>
      </c>
      <c r="L348" s="13">
        <v>35</v>
      </c>
    </row>
    <row r="349" spans="1:12" s="10" customFormat="1" ht="18" x14ac:dyDescent="0.25">
      <c r="A349" s="11">
        <v>345</v>
      </c>
      <c r="B349" s="12" t="s">
        <v>413</v>
      </c>
      <c r="C349" s="12">
        <v>140404</v>
      </c>
      <c r="D349" s="12" t="s">
        <v>440</v>
      </c>
      <c r="E349" s="21">
        <v>201180011138</v>
      </c>
      <c r="F349" s="12" t="s">
        <v>374</v>
      </c>
      <c r="G349" s="12" t="s">
        <v>19</v>
      </c>
      <c r="H349" s="12" t="s">
        <v>20</v>
      </c>
      <c r="I349" s="12">
        <v>1</v>
      </c>
      <c r="J349" s="12" t="s">
        <v>21</v>
      </c>
      <c r="K349" s="12" t="s">
        <v>22</v>
      </c>
      <c r="L349" s="13">
        <v>35</v>
      </c>
    </row>
    <row r="350" spans="1:12" s="10" customFormat="1" ht="18" x14ac:dyDescent="0.25">
      <c r="A350" s="11">
        <v>346</v>
      </c>
      <c r="B350" s="12" t="s">
        <v>413</v>
      </c>
      <c r="C350" s="12">
        <v>140404</v>
      </c>
      <c r="D350" s="12" t="s">
        <v>441</v>
      </c>
      <c r="E350" s="21">
        <v>201180013045</v>
      </c>
      <c r="F350" s="12" t="s">
        <v>374</v>
      </c>
      <c r="G350" s="12" t="s">
        <v>19</v>
      </c>
      <c r="H350" s="12" t="s">
        <v>20</v>
      </c>
      <c r="I350" s="12">
        <v>1</v>
      </c>
      <c r="J350" s="12" t="s">
        <v>21</v>
      </c>
      <c r="K350" s="12" t="s">
        <v>22</v>
      </c>
      <c r="L350" s="13">
        <v>35</v>
      </c>
    </row>
    <row r="351" spans="1:12" s="10" customFormat="1" ht="18" x14ac:dyDescent="0.25">
      <c r="A351" s="11">
        <v>347</v>
      </c>
      <c r="B351" s="12" t="s">
        <v>442</v>
      </c>
      <c r="C351" s="12" t="str">
        <f t="shared" ref="C351:C414" si="12">"140202"</f>
        <v>140202</v>
      </c>
      <c r="D351" s="12" t="str">
        <f>"14.140202/2024.00369/BC.I."</f>
        <v>14.140202/2024.00369/BC.I.</v>
      </c>
      <c r="E351" s="12" t="str">
        <f>"200580080875"</f>
        <v>200580080875</v>
      </c>
      <c r="F351" s="12" t="str">
        <f t="shared" ref="F351:F413" si="13">"COMPUTADORA/MICROCOMPUTADORA"</f>
        <v>COMPUTADORA/MICROCOMPUTADORA</v>
      </c>
      <c r="G351" s="12" t="s">
        <v>19</v>
      </c>
      <c r="H351" s="12" t="s">
        <v>20</v>
      </c>
      <c r="I351" s="12">
        <v>1</v>
      </c>
      <c r="J351" s="12" t="s">
        <v>21</v>
      </c>
      <c r="K351" s="12" t="s">
        <v>22</v>
      </c>
      <c r="L351" s="13">
        <v>35</v>
      </c>
    </row>
    <row r="352" spans="1:12" s="10" customFormat="1" ht="18" x14ac:dyDescent="0.25">
      <c r="A352" s="11">
        <v>348</v>
      </c>
      <c r="B352" s="12" t="s">
        <v>442</v>
      </c>
      <c r="C352" s="12" t="str">
        <f t="shared" si="12"/>
        <v>140202</v>
      </c>
      <c r="D352" s="12" t="str">
        <f>"14.140202/2024.00409/BC.I."</f>
        <v>14.140202/2024.00409/BC.I.</v>
      </c>
      <c r="E352" s="12" t="str">
        <f>"200580086284"</f>
        <v>200580086284</v>
      </c>
      <c r="F352" s="12" t="str">
        <f t="shared" si="13"/>
        <v>COMPUTADORA/MICROCOMPUTADORA</v>
      </c>
      <c r="G352" s="12" t="s">
        <v>19</v>
      </c>
      <c r="H352" s="12" t="s">
        <v>20</v>
      </c>
      <c r="I352" s="12">
        <v>1</v>
      </c>
      <c r="J352" s="12" t="s">
        <v>21</v>
      </c>
      <c r="K352" s="12" t="s">
        <v>22</v>
      </c>
      <c r="L352" s="13">
        <v>35</v>
      </c>
    </row>
    <row r="353" spans="1:12" s="10" customFormat="1" ht="18" x14ac:dyDescent="0.25">
      <c r="A353" s="11">
        <v>349</v>
      </c>
      <c r="B353" s="12" t="s">
        <v>442</v>
      </c>
      <c r="C353" s="12" t="str">
        <f t="shared" si="12"/>
        <v>140202</v>
      </c>
      <c r="D353" s="12" t="str">
        <f>"14.140202/2024.00370/BC.I."</f>
        <v>14.140202/2024.00370/BC.I.</v>
      </c>
      <c r="E353" s="12" t="str">
        <f>"200580086286"</f>
        <v>200580086286</v>
      </c>
      <c r="F353" s="12" t="str">
        <f t="shared" si="13"/>
        <v>COMPUTADORA/MICROCOMPUTADORA</v>
      </c>
      <c r="G353" s="12" t="s">
        <v>19</v>
      </c>
      <c r="H353" s="12" t="s">
        <v>20</v>
      </c>
      <c r="I353" s="12">
        <v>1</v>
      </c>
      <c r="J353" s="12" t="s">
        <v>21</v>
      </c>
      <c r="K353" s="12" t="s">
        <v>22</v>
      </c>
      <c r="L353" s="13">
        <v>35</v>
      </c>
    </row>
    <row r="354" spans="1:12" s="10" customFormat="1" ht="18" x14ac:dyDescent="0.25">
      <c r="A354" s="11">
        <v>350</v>
      </c>
      <c r="B354" s="12" t="s">
        <v>442</v>
      </c>
      <c r="C354" s="12" t="str">
        <f t="shared" si="12"/>
        <v>140202</v>
      </c>
      <c r="D354" s="12" t="str">
        <f>"14.140202/2024.00386/BC.I."</f>
        <v>14.140202/2024.00386/BC.I.</v>
      </c>
      <c r="E354" s="12" t="str">
        <f>"200580086347"</f>
        <v>200580086347</v>
      </c>
      <c r="F354" s="12" t="str">
        <f t="shared" si="13"/>
        <v>COMPUTADORA/MICROCOMPUTADORA</v>
      </c>
      <c r="G354" s="12" t="s">
        <v>19</v>
      </c>
      <c r="H354" s="12" t="s">
        <v>20</v>
      </c>
      <c r="I354" s="12">
        <v>1</v>
      </c>
      <c r="J354" s="12" t="s">
        <v>21</v>
      </c>
      <c r="K354" s="12" t="s">
        <v>22</v>
      </c>
      <c r="L354" s="13">
        <v>35</v>
      </c>
    </row>
    <row r="355" spans="1:12" s="10" customFormat="1" ht="18" x14ac:dyDescent="0.25">
      <c r="A355" s="11">
        <v>351</v>
      </c>
      <c r="B355" s="12" t="s">
        <v>442</v>
      </c>
      <c r="C355" s="12" t="str">
        <f t="shared" si="12"/>
        <v>140202</v>
      </c>
      <c r="D355" s="12" t="str">
        <f>"14.140202/2024.00368/BC.I."</f>
        <v>14.140202/2024.00368/BC.I.</v>
      </c>
      <c r="E355" s="12" t="str">
        <f>"200580086399"</f>
        <v>200580086399</v>
      </c>
      <c r="F355" s="12" t="str">
        <f t="shared" si="13"/>
        <v>COMPUTADORA/MICROCOMPUTADORA</v>
      </c>
      <c r="G355" s="12" t="s">
        <v>19</v>
      </c>
      <c r="H355" s="12" t="s">
        <v>20</v>
      </c>
      <c r="I355" s="12">
        <v>1</v>
      </c>
      <c r="J355" s="12" t="s">
        <v>21</v>
      </c>
      <c r="K355" s="12" t="s">
        <v>22</v>
      </c>
      <c r="L355" s="13">
        <v>35</v>
      </c>
    </row>
    <row r="356" spans="1:12" s="10" customFormat="1" ht="18" x14ac:dyDescent="0.25">
      <c r="A356" s="11">
        <v>352</v>
      </c>
      <c r="B356" s="12" t="s">
        <v>442</v>
      </c>
      <c r="C356" s="12" t="str">
        <f t="shared" si="12"/>
        <v>140202</v>
      </c>
      <c r="D356" s="12" t="str">
        <f>"14.140202/2024.00396/BC.I."</f>
        <v>14.140202/2024.00396/BC.I.</v>
      </c>
      <c r="E356" s="12" t="str">
        <f>"200880008100"</f>
        <v>200880008100</v>
      </c>
      <c r="F356" s="12" t="str">
        <f t="shared" si="13"/>
        <v>COMPUTADORA/MICROCOMPUTADORA</v>
      </c>
      <c r="G356" s="12" t="s">
        <v>19</v>
      </c>
      <c r="H356" s="12" t="s">
        <v>20</v>
      </c>
      <c r="I356" s="12">
        <v>1</v>
      </c>
      <c r="J356" s="12" t="s">
        <v>21</v>
      </c>
      <c r="K356" s="12" t="s">
        <v>22</v>
      </c>
      <c r="L356" s="13">
        <v>35</v>
      </c>
    </row>
    <row r="357" spans="1:12" s="10" customFormat="1" ht="18" x14ac:dyDescent="0.25">
      <c r="A357" s="11">
        <v>353</v>
      </c>
      <c r="B357" s="12" t="s">
        <v>442</v>
      </c>
      <c r="C357" s="12" t="str">
        <f t="shared" si="12"/>
        <v>140202</v>
      </c>
      <c r="D357" s="12" t="str">
        <f>"14.140202/2024.00387/BC.I."</f>
        <v>14.140202/2024.00387/BC.I.</v>
      </c>
      <c r="E357" s="12" t="str">
        <f>"200880020870"</f>
        <v>200880020870</v>
      </c>
      <c r="F357" s="12" t="str">
        <f t="shared" si="13"/>
        <v>COMPUTADORA/MICROCOMPUTADORA</v>
      </c>
      <c r="G357" s="12" t="s">
        <v>19</v>
      </c>
      <c r="H357" s="12" t="s">
        <v>20</v>
      </c>
      <c r="I357" s="12">
        <v>1</v>
      </c>
      <c r="J357" s="12" t="s">
        <v>21</v>
      </c>
      <c r="K357" s="12" t="s">
        <v>22</v>
      </c>
      <c r="L357" s="13">
        <v>35</v>
      </c>
    </row>
    <row r="358" spans="1:12" s="10" customFormat="1" ht="18" x14ac:dyDescent="0.25">
      <c r="A358" s="11">
        <v>354</v>
      </c>
      <c r="B358" s="12" t="s">
        <v>442</v>
      </c>
      <c r="C358" s="12" t="str">
        <f t="shared" si="12"/>
        <v>140202</v>
      </c>
      <c r="D358" s="12" t="str">
        <f>"14.140202/2024.00382/BC.I."</f>
        <v>14.140202/2024.00382/BC.I.</v>
      </c>
      <c r="E358" s="12" t="str">
        <f>"200880021180"</f>
        <v>200880021180</v>
      </c>
      <c r="F358" s="12" t="str">
        <f t="shared" si="13"/>
        <v>COMPUTADORA/MICROCOMPUTADORA</v>
      </c>
      <c r="G358" s="12" t="s">
        <v>19</v>
      </c>
      <c r="H358" s="12" t="s">
        <v>20</v>
      </c>
      <c r="I358" s="12">
        <v>1</v>
      </c>
      <c r="J358" s="12" t="s">
        <v>21</v>
      </c>
      <c r="K358" s="12" t="s">
        <v>22</v>
      </c>
      <c r="L358" s="13">
        <v>35</v>
      </c>
    </row>
    <row r="359" spans="1:12" s="10" customFormat="1" ht="18" x14ac:dyDescent="0.25">
      <c r="A359" s="11">
        <v>355</v>
      </c>
      <c r="B359" s="12" t="s">
        <v>442</v>
      </c>
      <c r="C359" s="12" t="str">
        <f t="shared" si="12"/>
        <v>140202</v>
      </c>
      <c r="D359" s="12" t="str">
        <f>"14.140202/2024.00376/BC.I."</f>
        <v>14.140202/2024.00376/BC.I.</v>
      </c>
      <c r="E359" s="12" t="str">
        <f>"200880021262"</f>
        <v>200880021262</v>
      </c>
      <c r="F359" s="12" t="str">
        <f t="shared" si="13"/>
        <v>COMPUTADORA/MICROCOMPUTADORA</v>
      </c>
      <c r="G359" s="12" t="s">
        <v>19</v>
      </c>
      <c r="H359" s="12" t="s">
        <v>20</v>
      </c>
      <c r="I359" s="12">
        <v>1</v>
      </c>
      <c r="J359" s="12" t="s">
        <v>21</v>
      </c>
      <c r="K359" s="12" t="s">
        <v>22</v>
      </c>
      <c r="L359" s="13">
        <v>35</v>
      </c>
    </row>
    <row r="360" spans="1:12" s="10" customFormat="1" ht="18" x14ac:dyDescent="0.25">
      <c r="A360" s="11">
        <v>356</v>
      </c>
      <c r="B360" s="12" t="s">
        <v>442</v>
      </c>
      <c r="C360" s="12" t="str">
        <f t="shared" si="12"/>
        <v>140202</v>
      </c>
      <c r="D360" s="12" t="str">
        <f>"14.140202/2024.00391/BC.I."</f>
        <v>14.140202/2024.00391/BC.I.</v>
      </c>
      <c r="E360" s="12" t="str">
        <f>"200880050755"</f>
        <v>200880050755</v>
      </c>
      <c r="F360" s="12" t="str">
        <f t="shared" si="13"/>
        <v>COMPUTADORA/MICROCOMPUTADORA</v>
      </c>
      <c r="G360" s="12" t="s">
        <v>19</v>
      </c>
      <c r="H360" s="12" t="s">
        <v>20</v>
      </c>
      <c r="I360" s="12">
        <v>1</v>
      </c>
      <c r="J360" s="12" t="s">
        <v>21</v>
      </c>
      <c r="K360" s="12" t="s">
        <v>22</v>
      </c>
      <c r="L360" s="13">
        <v>35</v>
      </c>
    </row>
    <row r="361" spans="1:12" s="10" customFormat="1" ht="18" x14ac:dyDescent="0.25">
      <c r="A361" s="11">
        <v>357</v>
      </c>
      <c r="B361" s="12" t="s">
        <v>442</v>
      </c>
      <c r="C361" s="12" t="str">
        <f t="shared" si="12"/>
        <v>140202</v>
      </c>
      <c r="D361" s="12" t="str">
        <f>"14.140202/2024.00359/BC.I."</f>
        <v>14.140202/2024.00359/BC.I.</v>
      </c>
      <c r="E361" s="12" t="str">
        <f>"200880051279"</f>
        <v>200880051279</v>
      </c>
      <c r="F361" s="12" t="str">
        <f t="shared" si="13"/>
        <v>COMPUTADORA/MICROCOMPUTADORA</v>
      </c>
      <c r="G361" s="12" t="s">
        <v>19</v>
      </c>
      <c r="H361" s="12" t="s">
        <v>20</v>
      </c>
      <c r="I361" s="12">
        <v>1</v>
      </c>
      <c r="J361" s="12" t="s">
        <v>21</v>
      </c>
      <c r="K361" s="12" t="s">
        <v>22</v>
      </c>
      <c r="L361" s="13">
        <v>35</v>
      </c>
    </row>
    <row r="362" spans="1:12" s="10" customFormat="1" ht="18" x14ac:dyDescent="0.25">
      <c r="A362" s="11">
        <v>358</v>
      </c>
      <c r="B362" s="12" t="s">
        <v>442</v>
      </c>
      <c r="C362" s="12" t="str">
        <f t="shared" si="12"/>
        <v>140202</v>
      </c>
      <c r="D362" s="12" t="str">
        <f>"14.140202/2024.00360/BC.I."</f>
        <v>14.140202/2024.00360/BC.I.</v>
      </c>
      <c r="E362" s="12" t="str">
        <f>"200880051701"</f>
        <v>200880051701</v>
      </c>
      <c r="F362" s="12" t="str">
        <f t="shared" si="13"/>
        <v>COMPUTADORA/MICROCOMPUTADORA</v>
      </c>
      <c r="G362" s="12" t="s">
        <v>19</v>
      </c>
      <c r="H362" s="12" t="s">
        <v>20</v>
      </c>
      <c r="I362" s="12">
        <v>1</v>
      </c>
      <c r="J362" s="12" t="s">
        <v>21</v>
      </c>
      <c r="K362" s="12" t="s">
        <v>22</v>
      </c>
      <c r="L362" s="13">
        <v>35</v>
      </c>
    </row>
    <row r="363" spans="1:12" s="10" customFormat="1" ht="18" x14ac:dyDescent="0.25">
      <c r="A363" s="11">
        <v>359</v>
      </c>
      <c r="B363" s="12" t="s">
        <v>442</v>
      </c>
      <c r="C363" s="12" t="str">
        <f t="shared" si="12"/>
        <v>140202</v>
      </c>
      <c r="D363" s="12" t="str">
        <f>"14.140202/2024.00389/BC.I."</f>
        <v>14.140202/2024.00389/BC.I.</v>
      </c>
      <c r="E363" s="12" t="str">
        <f>"200880051775"</f>
        <v>200880051775</v>
      </c>
      <c r="F363" s="12" t="str">
        <f t="shared" si="13"/>
        <v>COMPUTADORA/MICROCOMPUTADORA</v>
      </c>
      <c r="G363" s="12" t="s">
        <v>19</v>
      </c>
      <c r="H363" s="12" t="s">
        <v>20</v>
      </c>
      <c r="I363" s="12">
        <v>1</v>
      </c>
      <c r="J363" s="12" t="s">
        <v>21</v>
      </c>
      <c r="K363" s="12" t="s">
        <v>22</v>
      </c>
      <c r="L363" s="13">
        <v>35</v>
      </c>
    </row>
    <row r="364" spans="1:12" s="10" customFormat="1" ht="18" x14ac:dyDescent="0.25">
      <c r="A364" s="11">
        <v>360</v>
      </c>
      <c r="B364" s="12" t="s">
        <v>442</v>
      </c>
      <c r="C364" s="12" t="str">
        <f t="shared" si="12"/>
        <v>140202</v>
      </c>
      <c r="D364" s="12" t="str">
        <f>"14.140202/2024.00361/BC.I."</f>
        <v>14.140202/2024.00361/BC.I.</v>
      </c>
      <c r="E364" s="12" t="str">
        <f>"200880052054"</f>
        <v>200880052054</v>
      </c>
      <c r="F364" s="12" t="str">
        <f t="shared" si="13"/>
        <v>COMPUTADORA/MICROCOMPUTADORA</v>
      </c>
      <c r="G364" s="12" t="s">
        <v>19</v>
      </c>
      <c r="H364" s="12" t="s">
        <v>20</v>
      </c>
      <c r="I364" s="12">
        <v>1</v>
      </c>
      <c r="J364" s="12" t="s">
        <v>21</v>
      </c>
      <c r="K364" s="12" t="s">
        <v>22</v>
      </c>
      <c r="L364" s="13">
        <v>35</v>
      </c>
    </row>
    <row r="365" spans="1:12" s="10" customFormat="1" ht="18" x14ac:dyDescent="0.25">
      <c r="A365" s="11">
        <v>361</v>
      </c>
      <c r="B365" s="12" t="s">
        <v>442</v>
      </c>
      <c r="C365" s="12" t="str">
        <f t="shared" si="12"/>
        <v>140202</v>
      </c>
      <c r="D365" s="12" t="str">
        <f>"14.140202/2024.00392/BC.I."</f>
        <v>14.140202/2024.00392/BC.I.</v>
      </c>
      <c r="E365" s="12" t="str">
        <f>"201080033822"</f>
        <v>201080033822</v>
      </c>
      <c r="F365" s="12" t="str">
        <f t="shared" si="13"/>
        <v>COMPUTADORA/MICROCOMPUTADORA</v>
      </c>
      <c r="G365" s="12" t="s">
        <v>19</v>
      </c>
      <c r="H365" s="12" t="s">
        <v>20</v>
      </c>
      <c r="I365" s="12">
        <v>1</v>
      </c>
      <c r="J365" s="12" t="s">
        <v>21</v>
      </c>
      <c r="K365" s="12" t="s">
        <v>22</v>
      </c>
      <c r="L365" s="13">
        <v>35</v>
      </c>
    </row>
    <row r="366" spans="1:12" s="10" customFormat="1" ht="18" x14ac:dyDescent="0.25">
      <c r="A366" s="11">
        <v>362</v>
      </c>
      <c r="B366" s="12" t="s">
        <v>442</v>
      </c>
      <c r="C366" s="12" t="str">
        <f t="shared" si="12"/>
        <v>140202</v>
      </c>
      <c r="D366" s="12" t="str">
        <f>"14.140202/2024.00393/BC.I."</f>
        <v>14.140202/2024.00393/BC.I.</v>
      </c>
      <c r="E366" s="12" t="str">
        <f>"201080033823"</f>
        <v>201080033823</v>
      </c>
      <c r="F366" s="12" t="str">
        <f t="shared" si="13"/>
        <v>COMPUTADORA/MICROCOMPUTADORA</v>
      </c>
      <c r="G366" s="12" t="s">
        <v>19</v>
      </c>
      <c r="H366" s="12" t="s">
        <v>20</v>
      </c>
      <c r="I366" s="12">
        <v>1</v>
      </c>
      <c r="J366" s="12" t="s">
        <v>21</v>
      </c>
      <c r="K366" s="12" t="s">
        <v>22</v>
      </c>
      <c r="L366" s="13">
        <v>35</v>
      </c>
    </row>
    <row r="367" spans="1:12" s="10" customFormat="1" ht="18" x14ac:dyDescent="0.25">
      <c r="A367" s="11">
        <v>363</v>
      </c>
      <c r="B367" s="12" t="s">
        <v>442</v>
      </c>
      <c r="C367" s="12" t="str">
        <f t="shared" si="12"/>
        <v>140202</v>
      </c>
      <c r="D367" s="12" t="str">
        <f>"14.140202/2024.00355/BC.I."</f>
        <v>14.140202/2024.00355/BC.I.</v>
      </c>
      <c r="E367" s="12" t="str">
        <f>"201080033829"</f>
        <v>201080033829</v>
      </c>
      <c r="F367" s="12" t="str">
        <f t="shared" si="13"/>
        <v>COMPUTADORA/MICROCOMPUTADORA</v>
      </c>
      <c r="G367" s="12" t="s">
        <v>19</v>
      </c>
      <c r="H367" s="12" t="s">
        <v>20</v>
      </c>
      <c r="I367" s="12">
        <v>1</v>
      </c>
      <c r="J367" s="12" t="s">
        <v>21</v>
      </c>
      <c r="K367" s="12" t="s">
        <v>22</v>
      </c>
      <c r="L367" s="13">
        <v>35</v>
      </c>
    </row>
    <row r="368" spans="1:12" s="10" customFormat="1" ht="18" x14ac:dyDescent="0.25">
      <c r="A368" s="11">
        <v>364</v>
      </c>
      <c r="B368" s="12" t="s">
        <v>442</v>
      </c>
      <c r="C368" s="12" t="str">
        <f t="shared" si="12"/>
        <v>140202</v>
      </c>
      <c r="D368" s="12" t="str">
        <f>"14.140202/2024.00367/BC.I."</f>
        <v>14.140202/2024.00367/BC.I.</v>
      </c>
      <c r="E368" s="12" t="str">
        <f>"201080033831"</f>
        <v>201080033831</v>
      </c>
      <c r="F368" s="12" t="str">
        <f t="shared" si="13"/>
        <v>COMPUTADORA/MICROCOMPUTADORA</v>
      </c>
      <c r="G368" s="12" t="s">
        <v>19</v>
      </c>
      <c r="H368" s="12" t="s">
        <v>20</v>
      </c>
      <c r="I368" s="12">
        <v>1</v>
      </c>
      <c r="J368" s="12" t="s">
        <v>21</v>
      </c>
      <c r="K368" s="12" t="s">
        <v>22</v>
      </c>
      <c r="L368" s="13">
        <v>35</v>
      </c>
    </row>
    <row r="369" spans="1:12" s="10" customFormat="1" ht="18" x14ac:dyDescent="0.25">
      <c r="A369" s="11">
        <v>365</v>
      </c>
      <c r="B369" s="12" t="s">
        <v>442</v>
      </c>
      <c r="C369" s="12" t="str">
        <f t="shared" si="12"/>
        <v>140202</v>
      </c>
      <c r="D369" s="12" t="str">
        <f>"14.140202/2024.00412/BC.I."</f>
        <v>14.140202/2024.00412/BC.I.</v>
      </c>
      <c r="E369" s="12" t="str">
        <f>"201080033834"</f>
        <v>201080033834</v>
      </c>
      <c r="F369" s="12" t="str">
        <f t="shared" si="13"/>
        <v>COMPUTADORA/MICROCOMPUTADORA</v>
      </c>
      <c r="G369" s="12" t="s">
        <v>19</v>
      </c>
      <c r="H369" s="12" t="s">
        <v>20</v>
      </c>
      <c r="I369" s="12">
        <v>1</v>
      </c>
      <c r="J369" s="12" t="s">
        <v>21</v>
      </c>
      <c r="K369" s="12" t="s">
        <v>22</v>
      </c>
      <c r="L369" s="13">
        <v>35</v>
      </c>
    </row>
    <row r="370" spans="1:12" s="10" customFormat="1" ht="18" x14ac:dyDescent="0.25">
      <c r="A370" s="11">
        <v>366</v>
      </c>
      <c r="B370" s="12" t="s">
        <v>442</v>
      </c>
      <c r="C370" s="12" t="str">
        <f t="shared" si="12"/>
        <v>140202</v>
      </c>
      <c r="D370" s="12" t="str">
        <f>"14.140202/2024.00394/BC.I."</f>
        <v>14.140202/2024.00394/BC.I.</v>
      </c>
      <c r="E370" s="12" t="str">
        <f>"201080033844"</f>
        <v>201080033844</v>
      </c>
      <c r="F370" s="12" t="str">
        <f t="shared" si="13"/>
        <v>COMPUTADORA/MICROCOMPUTADORA</v>
      </c>
      <c r="G370" s="12" t="s">
        <v>19</v>
      </c>
      <c r="H370" s="12" t="s">
        <v>20</v>
      </c>
      <c r="I370" s="12">
        <v>1</v>
      </c>
      <c r="J370" s="12" t="s">
        <v>21</v>
      </c>
      <c r="K370" s="12" t="s">
        <v>22</v>
      </c>
      <c r="L370" s="13">
        <v>35</v>
      </c>
    </row>
    <row r="371" spans="1:12" s="10" customFormat="1" ht="18" x14ac:dyDescent="0.25">
      <c r="A371" s="11">
        <v>367</v>
      </c>
      <c r="B371" s="12" t="s">
        <v>442</v>
      </c>
      <c r="C371" s="12" t="str">
        <f t="shared" si="12"/>
        <v>140202</v>
      </c>
      <c r="D371" s="12" t="str">
        <f>"14.140202/2024.00375/BC.I."</f>
        <v>14.140202/2024.00375/BC.I.</v>
      </c>
      <c r="E371" s="12" t="str">
        <f>"201080033850"</f>
        <v>201080033850</v>
      </c>
      <c r="F371" s="12" t="str">
        <f t="shared" si="13"/>
        <v>COMPUTADORA/MICROCOMPUTADORA</v>
      </c>
      <c r="G371" s="12" t="s">
        <v>19</v>
      </c>
      <c r="H371" s="12" t="s">
        <v>20</v>
      </c>
      <c r="I371" s="12">
        <v>1</v>
      </c>
      <c r="J371" s="12" t="s">
        <v>21</v>
      </c>
      <c r="K371" s="12" t="s">
        <v>22</v>
      </c>
      <c r="L371" s="13">
        <v>35</v>
      </c>
    </row>
    <row r="372" spans="1:12" s="10" customFormat="1" ht="18" x14ac:dyDescent="0.25">
      <c r="A372" s="11">
        <v>368</v>
      </c>
      <c r="B372" s="12" t="s">
        <v>442</v>
      </c>
      <c r="C372" s="12" t="str">
        <f t="shared" si="12"/>
        <v>140202</v>
      </c>
      <c r="D372" s="12" t="str">
        <f>"14.140202/2024.00397/BC.I."</f>
        <v>14.140202/2024.00397/BC.I.</v>
      </c>
      <c r="E372" s="12" t="str">
        <f>"201080033851"</f>
        <v>201080033851</v>
      </c>
      <c r="F372" s="12" t="str">
        <f t="shared" si="13"/>
        <v>COMPUTADORA/MICROCOMPUTADORA</v>
      </c>
      <c r="G372" s="12" t="s">
        <v>19</v>
      </c>
      <c r="H372" s="12" t="s">
        <v>20</v>
      </c>
      <c r="I372" s="12">
        <v>1</v>
      </c>
      <c r="J372" s="12" t="s">
        <v>21</v>
      </c>
      <c r="K372" s="12" t="s">
        <v>22</v>
      </c>
      <c r="L372" s="13">
        <v>35</v>
      </c>
    </row>
    <row r="373" spans="1:12" s="10" customFormat="1" ht="18" x14ac:dyDescent="0.25">
      <c r="A373" s="11">
        <v>369</v>
      </c>
      <c r="B373" s="12" t="s">
        <v>442</v>
      </c>
      <c r="C373" s="12" t="str">
        <f t="shared" si="12"/>
        <v>140202</v>
      </c>
      <c r="D373" s="12" t="str">
        <f>"14.140202/2024.00408/BC.I."</f>
        <v>14.140202/2024.00408/BC.I.</v>
      </c>
      <c r="E373" s="12" t="str">
        <f>"201080033853"</f>
        <v>201080033853</v>
      </c>
      <c r="F373" s="12" t="str">
        <f t="shared" si="13"/>
        <v>COMPUTADORA/MICROCOMPUTADORA</v>
      </c>
      <c r="G373" s="12" t="s">
        <v>19</v>
      </c>
      <c r="H373" s="12" t="s">
        <v>20</v>
      </c>
      <c r="I373" s="12">
        <v>1</v>
      </c>
      <c r="J373" s="12" t="s">
        <v>21</v>
      </c>
      <c r="K373" s="12" t="s">
        <v>22</v>
      </c>
      <c r="L373" s="13">
        <v>35</v>
      </c>
    </row>
    <row r="374" spans="1:12" s="10" customFormat="1" ht="18" x14ac:dyDescent="0.25">
      <c r="A374" s="11">
        <v>370</v>
      </c>
      <c r="B374" s="12" t="s">
        <v>442</v>
      </c>
      <c r="C374" s="12" t="str">
        <f t="shared" si="12"/>
        <v>140202</v>
      </c>
      <c r="D374" s="12" t="str">
        <f>"14.140202/2024.00395/BC.I."</f>
        <v>14.140202/2024.00395/BC.I.</v>
      </c>
      <c r="E374" s="12" t="str">
        <f>"201080033854"</f>
        <v>201080033854</v>
      </c>
      <c r="F374" s="12" t="str">
        <f t="shared" si="13"/>
        <v>COMPUTADORA/MICROCOMPUTADORA</v>
      </c>
      <c r="G374" s="12" t="s">
        <v>19</v>
      </c>
      <c r="H374" s="12" t="s">
        <v>20</v>
      </c>
      <c r="I374" s="12">
        <v>1</v>
      </c>
      <c r="J374" s="12" t="s">
        <v>21</v>
      </c>
      <c r="K374" s="12" t="s">
        <v>22</v>
      </c>
      <c r="L374" s="13">
        <v>35</v>
      </c>
    </row>
    <row r="375" spans="1:12" s="10" customFormat="1" ht="18" x14ac:dyDescent="0.25">
      <c r="A375" s="11">
        <v>371</v>
      </c>
      <c r="B375" s="12" t="s">
        <v>442</v>
      </c>
      <c r="C375" s="12" t="str">
        <f t="shared" si="12"/>
        <v>140202</v>
      </c>
      <c r="D375" s="12" t="str">
        <f>"14.140202/2024.00415/BC.I."</f>
        <v>14.140202/2024.00415/BC.I.</v>
      </c>
      <c r="E375" s="12" t="str">
        <f>"201080033872"</f>
        <v>201080033872</v>
      </c>
      <c r="F375" s="12" t="str">
        <f t="shared" si="13"/>
        <v>COMPUTADORA/MICROCOMPUTADORA</v>
      </c>
      <c r="G375" s="12" t="s">
        <v>19</v>
      </c>
      <c r="H375" s="12" t="s">
        <v>20</v>
      </c>
      <c r="I375" s="12">
        <v>1</v>
      </c>
      <c r="J375" s="12" t="s">
        <v>21</v>
      </c>
      <c r="K375" s="12" t="s">
        <v>22</v>
      </c>
      <c r="L375" s="13">
        <v>35</v>
      </c>
    </row>
    <row r="376" spans="1:12" s="10" customFormat="1" ht="18" x14ac:dyDescent="0.25">
      <c r="A376" s="11">
        <v>372</v>
      </c>
      <c r="B376" s="12" t="s">
        <v>442</v>
      </c>
      <c r="C376" s="12" t="str">
        <f t="shared" si="12"/>
        <v>140202</v>
      </c>
      <c r="D376" s="12" t="str">
        <f>"14.140202/2024.00417/BC.I."</f>
        <v>14.140202/2024.00417/BC.I.</v>
      </c>
      <c r="E376" s="12" t="str">
        <f>"201080033876"</f>
        <v>201080033876</v>
      </c>
      <c r="F376" s="12" t="str">
        <f t="shared" si="13"/>
        <v>COMPUTADORA/MICROCOMPUTADORA</v>
      </c>
      <c r="G376" s="12" t="s">
        <v>19</v>
      </c>
      <c r="H376" s="12" t="s">
        <v>20</v>
      </c>
      <c r="I376" s="12">
        <v>1</v>
      </c>
      <c r="J376" s="12" t="s">
        <v>21</v>
      </c>
      <c r="K376" s="12" t="s">
        <v>22</v>
      </c>
      <c r="L376" s="13">
        <v>35</v>
      </c>
    </row>
    <row r="377" spans="1:12" s="10" customFormat="1" ht="18" x14ac:dyDescent="0.25">
      <c r="A377" s="11">
        <v>373</v>
      </c>
      <c r="B377" s="12" t="s">
        <v>442</v>
      </c>
      <c r="C377" s="12" t="str">
        <f t="shared" si="12"/>
        <v>140202</v>
      </c>
      <c r="D377" s="12" t="str">
        <f>"14.140202/2024.00413/BC.I."</f>
        <v>14.140202/2024.00413/BC.I.</v>
      </c>
      <c r="E377" s="12" t="str">
        <f>"201080033878"</f>
        <v>201080033878</v>
      </c>
      <c r="F377" s="12" t="str">
        <f t="shared" si="13"/>
        <v>COMPUTADORA/MICROCOMPUTADORA</v>
      </c>
      <c r="G377" s="12" t="s">
        <v>19</v>
      </c>
      <c r="H377" s="12" t="s">
        <v>20</v>
      </c>
      <c r="I377" s="12">
        <v>1</v>
      </c>
      <c r="J377" s="12" t="s">
        <v>21</v>
      </c>
      <c r="K377" s="12" t="s">
        <v>22</v>
      </c>
      <c r="L377" s="13">
        <v>35</v>
      </c>
    </row>
    <row r="378" spans="1:12" s="10" customFormat="1" ht="18" x14ac:dyDescent="0.25">
      <c r="A378" s="11">
        <v>374</v>
      </c>
      <c r="B378" s="12" t="s">
        <v>442</v>
      </c>
      <c r="C378" s="12" t="str">
        <f t="shared" si="12"/>
        <v>140202</v>
      </c>
      <c r="D378" s="12" t="str">
        <f>"14.140202/2024.00414/BC.I."</f>
        <v>14.140202/2024.00414/BC.I.</v>
      </c>
      <c r="E378" s="12" t="str">
        <f>"201080033880"</f>
        <v>201080033880</v>
      </c>
      <c r="F378" s="12" t="str">
        <f t="shared" si="13"/>
        <v>COMPUTADORA/MICROCOMPUTADORA</v>
      </c>
      <c r="G378" s="12" t="s">
        <v>19</v>
      </c>
      <c r="H378" s="12" t="s">
        <v>20</v>
      </c>
      <c r="I378" s="12">
        <v>1</v>
      </c>
      <c r="J378" s="12" t="s">
        <v>21</v>
      </c>
      <c r="K378" s="12" t="s">
        <v>22</v>
      </c>
      <c r="L378" s="13">
        <v>35</v>
      </c>
    </row>
    <row r="379" spans="1:12" s="10" customFormat="1" ht="18" x14ac:dyDescent="0.25">
      <c r="A379" s="11">
        <v>375</v>
      </c>
      <c r="B379" s="12" t="s">
        <v>442</v>
      </c>
      <c r="C379" s="12" t="str">
        <f t="shared" si="12"/>
        <v>140202</v>
      </c>
      <c r="D379" s="12" t="str">
        <f>"14.140202/2024.00379/BC.I."</f>
        <v>14.140202/2024.00379/BC.I.</v>
      </c>
      <c r="E379" s="12" t="str">
        <f>"201080033883"</f>
        <v>201080033883</v>
      </c>
      <c r="F379" s="12" t="str">
        <f t="shared" si="13"/>
        <v>COMPUTADORA/MICROCOMPUTADORA</v>
      </c>
      <c r="G379" s="12" t="s">
        <v>19</v>
      </c>
      <c r="H379" s="12" t="s">
        <v>20</v>
      </c>
      <c r="I379" s="12">
        <v>1</v>
      </c>
      <c r="J379" s="12" t="s">
        <v>21</v>
      </c>
      <c r="K379" s="12" t="s">
        <v>22</v>
      </c>
      <c r="L379" s="13">
        <v>35</v>
      </c>
    </row>
    <row r="380" spans="1:12" s="10" customFormat="1" ht="18" x14ac:dyDescent="0.25">
      <c r="A380" s="11">
        <v>376</v>
      </c>
      <c r="B380" s="12" t="s">
        <v>442</v>
      </c>
      <c r="C380" s="12" t="str">
        <f t="shared" si="12"/>
        <v>140202</v>
      </c>
      <c r="D380" s="12" t="str">
        <f>"14.140202/2024.00381/BC.I."</f>
        <v>14.140202/2024.00381/BC.I.</v>
      </c>
      <c r="E380" s="12" t="str">
        <f>"201080033892"</f>
        <v>201080033892</v>
      </c>
      <c r="F380" s="12" t="str">
        <f t="shared" si="13"/>
        <v>COMPUTADORA/MICROCOMPUTADORA</v>
      </c>
      <c r="G380" s="12" t="s">
        <v>19</v>
      </c>
      <c r="H380" s="12" t="s">
        <v>20</v>
      </c>
      <c r="I380" s="12">
        <v>1</v>
      </c>
      <c r="J380" s="12" t="s">
        <v>21</v>
      </c>
      <c r="K380" s="12" t="s">
        <v>22</v>
      </c>
      <c r="L380" s="13">
        <v>35</v>
      </c>
    </row>
    <row r="381" spans="1:12" s="10" customFormat="1" ht="18" x14ac:dyDescent="0.25">
      <c r="A381" s="11">
        <v>377</v>
      </c>
      <c r="B381" s="12" t="s">
        <v>442</v>
      </c>
      <c r="C381" s="12" t="str">
        <f t="shared" si="12"/>
        <v>140202</v>
      </c>
      <c r="D381" s="12" t="str">
        <f>"14.140202/2024.00371/BC.I."</f>
        <v>14.140202/2024.00371/BC.I.</v>
      </c>
      <c r="E381" s="12" t="str">
        <f>"201080033893"</f>
        <v>201080033893</v>
      </c>
      <c r="F381" s="12" t="str">
        <f t="shared" si="13"/>
        <v>COMPUTADORA/MICROCOMPUTADORA</v>
      </c>
      <c r="G381" s="12" t="s">
        <v>19</v>
      </c>
      <c r="H381" s="12" t="s">
        <v>20</v>
      </c>
      <c r="I381" s="12">
        <v>1</v>
      </c>
      <c r="J381" s="12" t="s">
        <v>21</v>
      </c>
      <c r="K381" s="12" t="s">
        <v>22</v>
      </c>
      <c r="L381" s="13">
        <v>35</v>
      </c>
    </row>
    <row r="382" spans="1:12" s="10" customFormat="1" ht="18" x14ac:dyDescent="0.25">
      <c r="A382" s="11">
        <v>378</v>
      </c>
      <c r="B382" s="12" t="s">
        <v>442</v>
      </c>
      <c r="C382" s="12" t="str">
        <f t="shared" si="12"/>
        <v>140202</v>
      </c>
      <c r="D382" s="12" t="str">
        <f>"14.140202/2024.00380/BC.I."</f>
        <v>14.140202/2024.00380/BC.I.</v>
      </c>
      <c r="E382" s="12" t="str">
        <f>"201080033895"</f>
        <v>201080033895</v>
      </c>
      <c r="F382" s="12" t="str">
        <f t="shared" si="13"/>
        <v>COMPUTADORA/MICROCOMPUTADORA</v>
      </c>
      <c r="G382" s="12" t="s">
        <v>19</v>
      </c>
      <c r="H382" s="12" t="s">
        <v>20</v>
      </c>
      <c r="I382" s="12">
        <v>1</v>
      </c>
      <c r="J382" s="12" t="s">
        <v>21</v>
      </c>
      <c r="K382" s="12" t="s">
        <v>22</v>
      </c>
      <c r="L382" s="13">
        <v>35</v>
      </c>
    </row>
    <row r="383" spans="1:12" s="10" customFormat="1" ht="18" x14ac:dyDescent="0.25">
      <c r="A383" s="11">
        <v>379</v>
      </c>
      <c r="B383" s="12" t="s">
        <v>442</v>
      </c>
      <c r="C383" s="12" t="str">
        <f t="shared" si="12"/>
        <v>140202</v>
      </c>
      <c r="D383" s="12" t="str">
        <f>"14.140202/2024.00372/BC.I."</f>
        <v>14.140202/2024.00372/BC.I.</v>
      </c>
      <c r="E383" s="12" t="str">
        <f>"201080033958"</f>
        <v>201080033958</v>
      </c>
      <c r="F383" s="12" t="str">
        <f t="shared" si="13"/>
        <v>COMPUTADORA/MICROCOMPUTADORA</v>
      </c>
      <c r="G383" s="12" t="s">
        <v>19</v>
      </c>
      <c r="H383" s="12" t="s">
        <v>20</v>
      </c>
      <c r="I383" s="12">
        <v>1</v>
      </c>
      <c r="J383" s="12" t="s">
        <v>21</v>
      </c>
      <c r="K383" s="12" t="s">
        <v>22</v>
      </c>
      <c r="L383" s="13">
        <v>35</v>
      </c>
    </row>
    <row r="384" spans="1:12" s="10" customFormat="1" ht="18" x14ac:dyDescent="0.25">
      <c r="A384" s="11">
        <v>380</v>
      </c>
      <c r="B384" s="12" t="s">
        <v>442</v>
      </c>
      <c r="C384" s="12" t="str">
        <f t="shared" si="12"/>
        <v>140202</v>
      </c>
      <c r="D384" s="12" t="str">
        <f>"14.140202/2024.00410/BC.I."</f>
        <v>14.140202/2024.00410/BC.I.</v>
      </c>
      <c r="E384" s="12" t="str">
        <f>"201080034015"</f>
        <v>201080034015</v>
      </c>
      <c r="F384" s="12" t="str">
        <f t="shared" si="13"/>
        <v>COMPUTADORA/MICROCOMPUTADORA</v>
      </c>
      <c r="G384" s="12" t="s">
        <v>19</v>
      </c>
      <c r="H384" s="12" t="s">
        <v>20</v>
      </c>
      <c r="I384" s="12">
        <v>1</v>
      </c>
      <c r="J384" s="12" t="s">
        <v>21</v>
      </c>
      <c r="K384" s="12" t="s">
        <v>22</v>
      </c>
      <c r="L384" s="13">
        <v>35</v>
      </c>
    </row>
    <row r="385" spans="1:12" s="10" customFormat="1" ht="18" x14ac:dyDescent="0.25">
      <c r="A385" s="11">
        <v>381</v>
      </c>
      <c r="B385" s="12" t="s">
        <v>442</v>
      </c>
      <c r="C385" s="12" t="str">
        <f t="shared" si="12"/>
        <v>140202</v>
      </c>
      <c r="D385" s="12" t="str">
        <f>"14.140202/2024.00411/BC.I."</f>
        <v>14.140202/2024.00411/BC.I.</v>
      </c>
      <c r="E385" s="12" t="str">
        <f>"201080034240"</f>
        <v>201080034240</v>
      </c>
      <c r="F385" s="12" t="str">
        <f t="shared" si="13"/>
        <v>COMPUTADORA/MICROCOMPUTADORA</v>
      </c>
      <c r="G385" s="12" t="s">
        <v>19</v>
      </c>
      <c r="H385" s="12" t="s">
        <v>20</v>
      </c>
      <c r="I385" s="12">
        <v>1</v>
      </c>
      <c r="J385" s="12" t="s">
        <v>21</v>
      </c>
      <c r="K385" s="12" t="s">
        <v>22</v>
      </c>
      <c r="L385" s="13">
        <v>35</v>
      </c>
    </row>
    <row r="386" spans="1:12" s="10" customFormat="1" ht="18" x14ac:dyDescent="0.25">
      <c r="A386" s="11">
        <v>382</v>
      </c>
      <c r="B386" s="12" t="s">
        <v>442</v>
      </c>
      <c r="C386" s="12" t="str">
        <f t="shared" si="12"/>
        <v>140202</v>
      </c>
      <c r="D386" s="12" t="str">
        <f>"14.140202/2024.00377/BC.I."</f>
        <v>14.140202/2024.00377/BC.I.</v>
      </c>
      <c r="E386" s="12" t="str">
        <f>"201080034248"</f>
        <v>201080034248</v>
      </c>
      <c r="F386" s="12" t="str">
        <f t="shared" si="13"/>
        <v>COMPUTADORA/MICROCOMPUTADORA</v>
      </c>
      <c r="G386" s="12" t="s">
        <v>19</v>
      </c>
      <c r="H386" s="12" t="s">
        <v>20</v>
      </c>
      <c r="I386" s="12">
        <v>1</v>
      </c>
      <c r="J386" s="12" t="s">
        <v>21</v>
      </c>
      <c r="K386" s="12" t="s">
        <v>22</v>
      </c>
      <c r="L386" s="13">
        <v>35</v>
      </c>
    </row>
    <row r="387" spans="1:12" s="10" customFormat="1" ht="18" x14ac:dyDescent="0.25">
      <c r="A387" s="11">
        <v>383</v>
      </c>
      <c r="B387" s="12" t="s">
        <v>442</v>
      </c>
      <c r="C387" s="12" t="str">
        <f t="shared" si="12"/>
        <v>140202</v>
      </c>
      <c r="D387" s="12" t="str">
        <f>"14.140202/2024.00404/BC.I."</f>
        <v>14.140202/2024.00404/BC.I.</v>
      </c>
      <c r="E387" s="12" t="str">
        <f>"201080034252"</f>
        <v>201080034252</v>
      </c>
      <c r="F387" s="12" t="str">
        <f t="shared" si="13"/>
        <v>COMPUTADORA/MICROCOMPUTADORA</v>
      </c>
      <c r="G387" s="12" t="s">
        <v>19</v>
      </c>
      <c r="H387" s="12" t="s">
        <v>20</v>
      </c>
      <c r="I387" s="12">
        <v>1</v>
      </c>
      <c r="J387" s="12" t="s">
        <v>21</v>
      </c>
      <c r="K387" s="12" t="s">
        <v>22</v>
      </c>
      <c r="L387" s="13">
        <v>35</v>
      </c>
    </row>
    <row r="388" spans="1:12" s="10" customFormat="1" ht="18" x14ac:dyDescent="0.25">
      <c r="A388" s="11">
        <v>384</v>
      </c>
      <c r="B388" s="12" t="s">
        <v>442</v>
      </c>
      <c r="C388" s="12" t="str">
        <f t="shared" si="12"/>
        <v>140202</v>
      </c>
      <c r="D388" s="12" t="str">
        <f>"14.140202/2024.00388/BC.I."</f>
        <v>14.140202/2024.00388/BC.I.</v>
      </c>
      <c r="E388" s="12" t="str">
        <f>"201080034253"</f>
        <v>201080034253</v>
      </c>
      <c r="F388" s="12" t="str">
        <f t="shared" si="13"/>
        <v>COMPUTADORA/MICROCOMPUTADORA</v>
      </c>
      <c r="G388" s="12" t="s">
        <v>19</v>
      </c>
      <c r="H388" s="12" t="s">
        <v>20</v>
      </c>
      <c r="I388" s="12">
        <v>1</v>
      </c>
      <c r="J388" s="12" t="s">
        <v>21</v>
      </c>
      <c r="K388" s="12" t="s">
        <v>22</v>
      </c>
      <c r="L388" s="13">
        <v>35</v>
      </c>
    </row>
    <row r="389" spans="1:12" s="10" customFormat="1" ht="18" x14ac:dyDescent="0.25">
      <c r="A389" s="11">
        <v>385</v>
      </c>
      <c r="B389" s="12" t="s">
        <v>442</v>
      </c>
      <c r="C389" s="12" t="str">
        <f t="shared" si="12"/>
        <v>140202</v>
      </c>
      <c r="D389" s="12" t="str">
        <f>"14.140202/2024.00378/BC.I."</f>
        <v>14.140202/2024.00378/BC.I.</v>
      </c>
      <c r="E389" s="12" t="str">
        <f>"201080053665"</f>
        <v>201080053665</v>
      </c>
      <c r="F389" s="12" t="str">
        <f t="shared" si="13"/>
        <v>COMPUTADORA/MICROCOMPUTADORA</v>
      </c>
      <c r="G389" s="12" t="s">
        <v>19</v>
      </c>
      <c r="H389" s="12" t="s">
        <v>20</v>
      </c>
      <c r="I389" s="12">
        <v>1</v>
      </c>
      <c r="J389" s="12" t="s">
        <v>21</v>
      </c>
      <c r="K389" s="12" t="s">
        <v>22</v>
      </c>
      <c r="L389" s="13">
        <v>35</v>
      </c>
    </row>
    <row r="390" spans="1:12" s="10" customFormat="1" ht="18" x14ac:dyDescent="0.25">
      <c r="A390" s="11">
        <v>386</v>
      </c>
      <c r="B390" s="12" t="s">
        <v>442</v>
      </c>
      <c r="C390" s="12" t="str">
        <f t="shared" si="12"/>
        <v>140202</v>
      </c>
      <c r="D390" s="12" t="str">
        <f>"14.140202/2024.00384/BC.I."</f>
        <v>14.140202/2024.00384/BC.I.</v>
      </c>
      <c r="E390" s="12" t="str">
        <f>"201080053760"</f>
        <v>201080053760</v>
      </c>
      <c r="F390" s="12" t="str">
        <f t="shared" si="13"/>
        <v>COMPUTADORA/MICROCOMPUTADORA</v>
      </c>
      <c r="G390" s="12" t="s">
        <v>19</v>
      </c>
      <c r="H390" s="12" t="s">
        <v>20</v>
      </c>
      <c r="I390" s="12">
        <v>1</v>
      </c>
      <c r="J390" s="12" t="s">
        <v>21</v>
      </c>
      <c r="K390" s="12" t="s">
        <v>22</v>
      </c>
      <c r="L390" s="13">
        <v>35</v>
      </c>
    </row>
    <row r="391" spans="1:12" s="10" customFormat="1" ht="18" x14ac:dyDescent="0.25">
      <c r="A391" s="11">
        <v>387</v>
      </c>
      <c r="B391" s="12" t="s">
        <v>442</v>
      </c>
      <c r="C391" s="12" t="str">
        <f t="shared" si="12"/>
        <v>140202</v>
      </c>
      <c r="D391" s="12" t="str">
        <f>"14.140202/2024.00398/BC.I."</f>
        <v>14.140202/2024.00398/BC.I.</v>
      </c>
      <c r="E391" s="12" t="str">
        <f>"201080053789"</f>
        <v>201080053789</v>
      </c>
      <c r="F391" s="12" t="str">
        <f t="shared" si="13"/>
        <v>COMPUTADORA/MICROCOMPUTADORA</v>
      </c>
      <c r="G391" s="12" t="s">
        <v>19</v>
      </c>
      <c r="H391" s="12" t="s">
        <v>20</v>
      </c>
      <c r="I391" s="12">
        <v>1</v>
      </c>
      <c r="J391" s="12" t="s">
        <v>21</v>
      </c>
      <c r="K391" s="12" t="s">
        <v>22</v>
      </c>
      <c r="L391" s="13">
        <v>35</v>
      </c>
    </row>
    <row r="392" spans="1:12" s="10" customFormat="1" ht="18" x14ac:dyDescent="0.25">
      <c r="A392" s="11">
        <v>388</v>
      </c>
      <c r="B392" s="12" t="s">
        <v>442</v>
      </c>
      <c r="C392" s="12" t="str">
        <f t="shared" si="12"/>
        <v>140202</v>
      </c>
      <c r="D392" s="12" t="str">
        <f>"14.140202/2024.00373/BC.I."</f>
        <v>14.140202/2024.00373/BC.I.</v>
      </c>
      <c r="E392" s="12" t="str">
        <f>"201080053791"</f>
        <v>201080053791</v>
      </c>
      <c r="F392" s="12" t="str">
        <f t="shared" si="13"/>
        <v>COMPUTADORA/MICROCOMPUTADORA</v>
      </c>
      <c r="G392" s="12" t="s">
        <v>19</v>
      </c>
      <c r="H392" s="12" t="s">
        <v>20</v>
      </c>
      <c r="I392" s="12">
        <v>1</v>
      </c>
      <c r="J392" s="12" t="s">
        <v>21</v>
      </c>
      <c r="K392" s="12" t="s">
        <v>22</v>
      </c>
      <c r="L392" s="13">
        <v>35</v>
      </c>
    </row>
    <row r="393" spans="1:12" s="10" customFormat="1" ht="18" x14ac:dyDescent="0.25">
      <c r="A393" s="11">
        <v>389</v>
      </c>
      <c r="B393" s="12" t="s">
        <v>442</v>
      </c>
      <c r="C393" s="12" t="str">
        <f t="shared" si="12"/>
        <v>140202</v>
      </c>
      <c r="D393" s="12" t="str">
        <f>"14.140202/2024.00399/BC.I."</f>
        <v>14.140202/2024.00399/BC.I.</v>
      </c>
      <c r="E393" s="12" t="str">
        <f>"201080053797"</f>
        <v>201080053797</v>
      </c>
      <c r="F393" s="12" t="str">
        <f t="shared" si="13"/>
        <v>COMPUTADORA/MICROCOMPUTADORA</v>
      </c>
      <c r="G393" s="12" t="s">
        <v>19</v>
      </c>
      <c r="H393" s="12" t="s">
        <v>20</v>
      </c>
      <c r="I393" s="12">
        <v>1</v>
      </c>
      <c r="J393" s="12" t="s">
        <v>21</v>
      </c>
      <c r="K393" s="12" t="s">
        <v>22</v>
      </c>
      <c r="L393" s="13">
        <v>35</v>
      </c>
    </row>
    <row r="394" spans="1:12" s="10" customFormat="1" ht="18" x14ac:dyDescent="0.25">
      <c r="A394" s="11">
        <v>390</v>
      </c>
      <c r="B394" s="12" t="s">
        <v>442</v>
      </c>
      <c r="C394" s="12" t="str">
        <f t="shared" si="12"/>
        <v>140202</v>
      </c>
      <c r="D394" s="12" t="str">
        <f>"14.140202/2024.00356/BC.I."</f>
        <v>14.140202/2024.00356/BC.I.</v>
      </c>
      <c r="E394" s="12" t="str">
        <f>"201080053798"</f>
        <v>201080053798</v>
      </c>
      <c r="F394" s="12" t="str">
        <f t="shared" si="13"/>
        <v>COMPUTADORA/MICROCOMPUTADORA</v>
      </c>
      <c r="G394" s="12" t="s">
        <v>19</v>
      </c>
      <c r="H394" s="12" t="s">
        <v>20</v>
      </c>
      <c r="I394" s="12">
        <v>1</v>
      </c>
      <c r="J394" s="12" t="s">
        <v>21</v>
      </c>
      <c r="K394" s="12" t="s">
        <v>22</v>
      </c>
      <c r="L394" s="13">
        <v>35</v>
      </c>
    </row>
    <row r="395" spans="1:12" s="10" customFormat="1" ht="18" x14ac:dyDescent="0.25">
      <c r="A395" s="11">
        <v>391</v>
      </c>
      <c r="B395" s="12" t="s">
        <v>442</v>
      </c>
      <c r="C395" s="12" t="str">
        <f t="shared" si="12"/>
        <v>140202</v>
      </c>
      <c r="D395" s="12" t="str">
        <f>"14.140202/2024.00357/BC.I."</f>
        <v>14.140202/2024.00357/BC.I.</v>
      </c>
      <c r="E395" s="12" t="str">
        <f>"201080053799"</f>
        <v>201080053799</v>
      </c>
      <c r="F395" s="12" t="str">
        <f t="shared" si="13"/>
        <v>COMPUTADORA/MICROCOMPUTADORA</v>
      </c>
      <c r="G395" s="12" t="s">
        <v>19</v>
      </c>
      <c r="H395" s="12" t="s">
        <v>20</v>
      </c>
      <c r="I395" s="12">
        <v>1</v>
      </c>
      <c r="J395" s="12" t="s">
        <v>21</v>
      </c>
      <c r="K395" s="12" t="s">
        <v>22</v>
      </c>
      <c r="L395" s="13">
        <v>35</v>
      </c>
    </row>
    <row r="396" spans="1:12" s="10" customFormat="1" ht="18" x14ac:dyDescent="0.25">
      <c r="A396" s="11">
        <v>392</v>
      </c>
      <c r="B396" s="12" t="s">
        <v>442</v>
      </c>
      <c r="C396" s="12" t="str">
        <f t="shared" si="12"/>
        <v>140202</v>
      </c>
      <c r="D396" s="12" t="str">
        <f>"14.140202/2024.00400/BC.I."</f>
        <v>14.140202/2024.00400/BC.I.</v>
      </c>
      <c r="E396" s="12" t="str">
        <f>"201080053809"</f>
        <v>201080053809</v>
      </c>
      <c r="F396" s="12" t="str">
        <f t="shared" si="13"/>
        <v>COMPUTADORA/MICROCOMPUTADORA</v>
      </c>
      <c r="G396" s="12" t="s">
        <v>19</v>
      </c>
      <c r="H396" s="12" t="s">
        <v>20</v>
      </c>
      <c r="I396" s="12">
        <v>1</v>
      </c>
      <c r="J396" s="12" t="s">
        <v>21</v>
      </c>
      <c r="K396" s="12" t="s">
        <v>22</v>
      </c>
      <c r="L396" s="13">
        <v>35</v>
      </c>
    </row>
    <row r="397" spans="1:12" s="10" customFormat="1" ht="18" x14ac:dyDescent="0.25">
      <c r="A397" s="11">
        <v>393</v>
      </c>
      <c r="B397" s="12" t="s">
        <v>442</v>
      </c>
      <c r="C397" s="12" t="str">
        <f t="shared" si="12"/>
        <v>140202</v>
      </c>
      <c r="D397" s="12" t="str">
        <f>"14.140202/2024.00358/BC.I."</f>
        <v>14.140202/2024.00358/BC.I.</v>
      </c>
      <c r="E397" s="12" t="str">
        <f>"201080053810"</f>
        <v>201080053810</v>
      </c>
      <c r="F397" s="12" t="str">
        <f t="shared" si="13"/>
        <v>COMPUTADORA/MICROCOMPUTADORA</v>
      </c>
      <c r="G397" s="12" t="s">
        <v>19</v>
      </c>
      <c r="H397" s="12" t="s">
        <v>20</v>
      </c>
      <c r="I397" s="12">
        <v>1</v>
      </c>
      <c r="J397" s="12" t="s">
        <v>21</v>
      </c>
      <c r="K397" s="12" t="s">
        <v>22</v>
      </c>
      <c r="L397" s="13">
        <v>35</v>
      </c>
    </row>
    <row r="398" spans="1:12" s="10" customFormat="1" ht="18" x14ac:dyDescent="0.25">
      <c r="A398" s="11">
        <v>394</v>
      </c>
      <c r="B398" s="12" t="s">
        <v>442</v>
      </c>
      <c r="C398" s="12" t="str">
        <f t="shared" si="12"/>
        <v>140202</v>
      </c>
      <c r="D398" s="12" t="str">
        <f>"14.140202/2024.00401/BC.I."</f>
        <v>14.140202/2024.00401/BC.I.</v>
      </c>
      <c r="E398" s="12" t="str">
        <f>"201080053813"</f>
        <v>201080053813</v>
      </c>
      <c r="F398" s="12" t="str">
        <f t="shared" si="13"/>
        <v>COMPUTADORA/MICROCOMPUTADORA</v>
      </c>
      <c r="G398" s="12" t="s">
        <v>19</v>
      </c>
      <c r="H398" s="12" t="s">
        <v>20</v>
      </c>
      <c r="I398" s="12">
        <v>1</v>
      </c>
      <c r="J398" s="12" t="s">
        <v>21</v>
      </c>
      <c r="K398" s="12" t="s">
        <v>22</v>
      </c>
      <c r="L398" s="13">
        <v>35</v>
      </c>
    </row>
    <row r="399" spans="1:12" s="10" customFormat="1" ht="18" x14ac:dyDescent="0.25">
      <c r="A399" s="11">
        <v>395</v>
      </c>
      <c r="B399" s="12" t="s">
        <v>442</v>
      </c>
      <c r="C399" s="12" t="str">
        <f t="shared" si="12"/>
        <v>140202</v>
      </c>
      <c r="D399" s="12" t="str">
        <f>"14.140202/2024.00402/BC.I."</f>
        <v>14.140202/2024.00402/BC.I.</v>
      </c>
      <c r="E399" s="12" t="str">
        <f>"201080053815"</f>
        <v>201080053815</v>
      </c>
      <c r="F399" s="12" t="str">
        <f t="shared" si="13"/>
        <v>COMPUTADORA/MICROCOMPUTADORA</v>
      </c>
      <c r="G399" s="12" t="s">
        <v>19</v>
      </c>
      <c r="H399" s="12" t="s">
        <v>20</v>
      </c>
      <c r="I399" s="12">
        <v>1</v>
      </c>
      <c r="J399" s="12" t="s">
        <v>21</v>
      </c>
      <c r="K399" s="12" t="s">
        <v>22</v>
      </c>
      <c r="L399" s="13">
        <v>35</v>
      </c>
    </row>
    <row r="400" spans="1:12" s="10" customFormat="1" ht="18" x14ac:dyDescent="0.25">
      <c r="A400" s="11">
        <v>396</v>
      </c>
      <c r="B400" s="12" t="s">
        <v>442</v>
      </c>
      <c r="C400" s="12" t="str">
        <f t="shared" si="12"/>
        <v>140202</v>
      </c>
      <c r="D400" s="12" t="str">
        <f>"14.140202/2024.00405/BC.I."</f>
        <v>14.140202/2024.00405/BC.I.</v>
      </c>
      <c r="E400" s="12" t="str">
        <f>"201080053831"</f>
        <v>201080053831</v>
      </c>
      <c r="F400" s="12" t="str">
        <f t="shared" si="13"/>
        <v>COMPUTADORA/MICROCOMPUTADORA</v>
      </c>
      <c r="G400" s="12" t="s">
        <v>19</v>
      </c>
      <c r="H400" s="12" t="s">
        <v>20</v>
      </c>
      <c r="I400" s="12">
        <v>1</v>
      </c>
      <c r="J400" s="12" t="s">
        <v>21</v>
      </c>
      <c r="K400" s="12" t="s">
        <v>22</v>
      </c>
      <c r="L400" s="13">
        <v>35</v>
      </c>
    </row>
    <row r="401" spans="1:12" s="10" customFormat="1" ht="18" x14ac:dyDescent="0.25">
      <c r="A401" s="11">
        <v>397</v>
      </c>
      <c r="B401" s="12" t="s">
        <v>442</v>
      </c>
      <c r="C401" s="12" t="str">
        <f t="shared" si="12"/>
        <v>140202</v>
      </c>
      <c r="D401" s="12" t="str">
        <f>"14.140202/2024.00407/BC.I."</f>
        <v>14.140202/2024.00407/BC.I.</v>
      </c>
      <c r="E401" s="12" t="str">
        <f>"201080053842"</f>
        <v>201080053842</v>
      </c>
      <c r="F401" s="12" t="str">
        <f t="shared" si="13"/>
        <v>COMPUTADORA/MICROCOMPUTADORA</v>
      </c>
      <c r="G401" s="12" t="s">
        <v>19</v>
      </c>
      <c r="H401" s="12" t="s">
        <v>20</v>
      </c>
      <c r="I401" s="12">
        <v>1</v>
      </c>
      <c r="J401" s="12" t="s">
        <v>21</v>
      </c>
      <c r="K401" s="12" t="s">
        <v>22</v>
      </c>
      <c r="L401" s="13">
        <v>35</v>
      </c>
    </row>
    <row r="402" spans="1:12" s="10" customFormat="1" ht="18" x14ac:dyDescent="0.25">
      <c r="A402" s="11">
        <v>398</v>
      </c>
      <c r="B402" s="12" t="s">
        <v>442</v>
      </c>
      <c r="C402" s="12" t="str">
        <f t="shared" si="12"/>
        <v>140202</v>
      </c>
      <c r="D402" s="12" t="str">
        <f>"14.140202/2024.00403/BC.I."</f>
        <v>14.140202/2024.00403/BC.I.</v>
      </c>
      <c r="E402" s="12" t="str">
        <f>"201080053845"</f>
        <v>201080053845</v>
      </c>
      <c r="F402" s="12" t="str">
        <f t="shared" si="13"/>
        <v>COMPUTADORA/MICROCOMPUTADORA</v>
      </c>
      <c r="G402" s="12" t="s">
        <v>19</v>
      </c>
      <c r="H402" s="12" t="s">
        <v>20</v>
      </c>
      <c r="I402" s="12">
        <v>1</v>
      </c>
      <c r="J402" s="12" t="s">
        <v>21</v>
      </c>
      <c r="K402" s="12" t="s">
        <v>22</v>
      </c>
      <c r="L402" s="13">
        <v>35</v>
      </c>
    </row>
    <row r="403" spans="1:12" s="10" customFormat="1" ht="18" x14ac:dyDescent="0.25">
      <c r="A403" s="11">
        <v>399</v>
      </c>
      <c r="B403" s="12" t="s">
        <v>442</v>
      </c>
      <c r="C403" s="12" t="str">
        <f t="shared" si="12"/>
        <v>140202</v>
      </c>
      <c r="D403" s="12" t="str">
        <f>"14.140202/2024.00362/BC.I."</f>
        <v>14.140202/2024.00362/BC.I.</v>
      </c>
      <c r="E403" s="12" t="str">
        <f>"201080053850"</f>
        <v>201080053850</v>
      </c>
      <c r="F403" s="12" t="str">
        <f t="shared" si="13"/>
        <v>COMPUTADORA/MICROCOMPUTADORA</v>
      </c>
      <c r="G403" s="12" t="s">
        <v>19</v>
      </c>
      <c r="H403" s="12" t="s">
        <v>20</v>
      </c>
      <c r="I403" s="12">
        <v>1</v>
      </c>
      <c r="J403" s="12" t="s">
        <v>21</v>
      </c>
      <c r="K403" s="12" t="s">
        <v>22</v>
      </c>
      <c r="L403" s="13">
        <v>35</v>
      </c>
    </row>
    <row r="404" spans="1:12" s="10" customFormat="1" ht="18" x14ac:dyDescent="0.25">
      <c r="A404" s="11">
        <v>400</v>
      </c>
      <c r="B404" s="12" t="s">
        <v>442</v>
      </c>
      <c r="C404" s="12" t="str">
        <f t="shared" si="12"/>
        <v>140202</v>
      </c>
      <c r="D404" s="12" t="str">
        <f>"14.140202/2024.00363/BC.I."</f>
        <v>14.140202/2024.00363/BC.I.</v>
      </c>
      <c r="E404" s="12" t="str">
        <f>"201080053923"</f>
        <v>201080053923</v>
      </c>
      <c r="F404" s="12" t="str">
        <f t="shared" si="13"/>
        <v>COMPUTADORA/MICROCOMPUTADORA</v>
      </c>
      <c r="G404" s="12" t="s">
        <v>19</v>
      </c>
      <c r="H404" s="12" t="s">
        <v>20</v>
      </c>
      <c r="I404" s="12">
        <v>1</v>
      </c>
      <c r="J404" s="12" t="s">
        <v>21</v>
      </c>
      <c r="K404" s="12" t="s">
        <v>22</v>
      </c>
      <c r="L404" s="13">
        <v>35</v>
      </c>
    </row>
    <row r="405" spans="1:12" s="10" customFormat="1" ht="18" x14ac:dyDescent="0.25">
      <c r="A405" s="11">
        <v>401</v>
      </c>
      <c r="B405" s="12" t="s">
        <v>442</v>
      </c>
      <c r="C405" s="12" t="str">
        <f t="shared" si="12"/>
        <v>140202</v>
      </c>
      <c r="D405" s="12" t="str">
        <f>"14.140202/2024.00374/BC.I."</f>
        <v>14.140202/2024.00374/BC.I.</v>
      </c>
      <c r="E405" s="12" t="str">
        <f>"201080053938"</f>
        <v>201080053938</v>
      </c>
      <c r="F405" s="12" t="str">
        <f t="shared" si="13"/>
        <v>COMPUTADORA/MICROCOMPUTADORA</v>
      </c>
      <c r="G405" s="12" t="s">
        <v>19</v>
      </c>
      <c r="H405" s="12" t="s">
        <v>20</v>
      </c>
      <c r="I405" s="12">
        <v>1</v>
      </c>
      <c r="J405" s="12" t="s">
        <v>21</v>
      </c>
      <c r="K405" s="12" t="s">
        <v>22</v>
      </c>
      <c r="L405" s="13">
        <v>35</v>
      </c>
    </row>
    <row r="406" spans="1:12" s="10" customFormat="1" ht="18" x14ac:dyDescent="0.25">
      <c r="A406" s="11">
        <v>402</v>
      </c>
      <c r="B406" s="12" t="s">
        <v>442</v>
      </c>
      <c r="C406" s="12" t="str">
        <f t="shared" si="12"/>
        <v>140202</v>
      </c>
      <c r="D406" s="12" t="str">
        <f>"14.140202/2024.00406/BC.I."</f>
        <v>14.140202/2024.00406/BC.I.</v>
      </c>
      <c r="E406" s="12" t="str">
        <f>"201080053955"</f>
        <v>201080053955</v>
      </c>
      <c r="F406" s="12" t="str">
        <f t="shared" si="13"/>
        <v>COMPUTADORA/MICROCOMPUTADORA</v>
      </c>
      <c r="G406" s="12" t="s">
        <v>19</v>
      </c>
      <c r="H406" s="12" t="s">
        <v>20</v>
      </c>
      <c r="I406" s="12">
        <v>1</v>
      </c>
      <c r="J406" s="12" t="s">
        <v>21</v>
      </c>
      <c r="K406" s="12" t="s">
        <v>22</v>
      </c>
      <c r="L406" s="13">
        <v>35</v>
      </c>
    </row>
    <row r="407" spans="1:12" s="10" customFormat="1" ht="18" x14ac:dyDescent="0.25">
      <c r="A407" s="11">
        <v>403</v>
      </c>
      <c r="B407" s="12" t="s">
        <v>442</v>
      </c>
      <c r="C407" s="12" t="str">
        <f t="shared" si="12"/>
        <v>140202</v>
      </c>
      <c r="D407" s="12" t="str">
        <f>"14.140202/2024.00390/BC.I."</f>
        <v>14.140202/2024.00390/BC.I.</v>
      </c>
      <c r="E407" s="12" t="str">
        <f>"201080075940"</f>
        <v>201080075940</v>
      </c>
      <c r="F407" s="12" t="str">
        <f t="shared" si="13"/>
        <v>COMPUTADORA/MICROCOMPUTADORA</v>
      </c>
      <c r="G407" s="12" t="s">
        <v>19</v>
      </c>
      <c r="H407" s="12" t="s">
        <v>20</v>
      </c>
      <c r="I407" s="12">
        <v>1</v>
      </c>
      <c r="J407" s="12" t="s">
        <v>21</v>
      </c>
      <c r="K407" s="12" t="s">
        <v>22</v>
      </c>
      <c r="L407" s="13">
        <v>35</v>
      </c>
    </row>
    <row r="408" spans="1:12" s="10" customFormat="1" ht="18" x14ac:dyDescent="0.25">
      <c r="A408" s="11">
        <v>404</v>
      </c>
      <c r="B408" s="12" t="s">
        <v>442</v>
      </c>
      <c r="C408" s="12" t="str">
        <f t="shared" si="12"/>
        <v>140202</v>
      </c>
      <c r="D408" s="12" t="str">
        <f>"14.140202/2024.00366/BC.I."</f>
        <v>14.140202/2024.00366/BC.I.</v>
      </c>
      <c r="E408" s="12" t="str">
        <f>"201080076028"</f>
        <v>201080076028</v>
      </c>
      <c r="F408" s="12" t="str">
        <f t="shared" si="13"/>
        <v>COMPUTADORA/MICROCOMPUTADORA</v>
      </c>
      <c r="G408" s="12" t="s">
        <v>19</v>
      </c>
      <c r="H408" s="12" t="s">
        <v>20</v>
      </c>
      <c r="I408" s="12">
        <v>1</v>
      </c>
      <c r="J408" s="12" t="s">
        <v>21</v>
      </c>
      <c r="K408" s="12" t="s">
        <v>22</v>
      </c>
      <c r="L408" s="13">
        <v>35</v>
      </c>
    </row>
    <row r="409" spans="1:12" s="10" customFormat="1" ht="18" x14ac:dyDescent="0.25">
      <c r="A409" s="11">
        <v>405</v>
      </c>
      <c r="B409" s="12" t="s">
        <v>442</v>
      </c>
      <c r="C409" s="12" t="str">
        <f t="shared" si="12"/>
        <v>140202</v>
      </c>
      <c r="D409" s="12" t="str">
        <f>"14.140202/2024.00364/BC.I."</f>
        <v>14.140202/2024.00364/BC.I.</v>
      </c>
      <c r="E409" s="12" t="str">
        <f>"201180015078"</f>
        <v>201180015078</v>
      </c>
      <c r="F409" s="12" t="str">
        <f t="shared" si="13"/>
        <v>COMPUTADORA/MICROCOMPUTADORA</v>
      </c>
      <c r="G409" s="12" t="s">
        <v>19</v>
      </c>
      <c r="H409" s="12" t="s">
        <v>20</v>
      </c>
      <c r="I409" s="12">
        <v>1</v>
      </c>
      <c r="J409" s="12" t="s">
        <v>21</v>
      </c>
      <c r="K409" s="12" t="s">
        <v>22</v>
      </c>
      <c r="L409" s="13">
        <v>35</v>
      </c>
    </row>
    <row r="410" spans="1:12" s="10" customFormat="1" ht="18" x14ac:dyDescent="0.25">
      <c r="A410" s="11">
        <v>406</v>
      </c>
      <c r="B410" s="12" t="s">
        <v>442</v>
      </c>
      <c r="C410" s="12" t="str">
        <f t="shared" si="12"/>
        <v>140202</v>
      </c>
      <c r="D410" s="12" t="str">
        <f>"14.140202/2024.00416/BC.I."</f>
        <v>14.140202/2024.00416/BC.I.</v>
      </c>
      <c r="E410" s="12" t="str">
        <f>"201180015080"</f>
        <v>201180015080</v>
      </c>
      <c r="F410" s="12" t="str">
        <f t="shared" si="13"/>
        <v>COMPUTADORA/MICROCOMPUTADORA</v>
      </c>
      <c r="G410" s="12" t="s">
        <v>19</v>
      </c>
      <c r="H410" s="12" t="s">
        <v>20</v>
      </c>
      <c r="I410" s="12">
        <v>1</v>
      </c>
      <c r="J410" s="12" t="s">
        <v>21</v>
      </c>
      <c r="K410" s="12" t="s">
        <v>22</v>
      </c>
      <c r="L410" s="13">
        <v>35</v>
      </c>
    </row>
    <row r="411" spans="1:12" s="10" customFormat="1" ht="18" x14ac:dyDescent="0.25">
      <c r="A411" s="11">
        <v>407</v>
      </c>
      <c r="B411" s="12" t="s">
        <v>442</v>
      </c>
      <c r="C411" s="12" t="str">
        <f t="shared" si="12"/>
        <v>140202</v>
      </c>
      <c r="D411" s="12" t="str">
        <f>"14.140202/2024.00385/BC.I."</f>
        <v>14.140202/2024.00385/BC.I.</v>
      </c>
      <c r="E411" s="12" t="str">
        <f>"201180029765"</f>
        <v>201180029765</v>
      </c>
      <c r="F411" s="12" t="str">
        <f t="shared" si="13"/>
        <v>COMPUTADORA/MICROCOMPUTADORA</v>
      </c>
      <c r="G411" s="12" t="s">
        <v>19</v>
      </c>
      <c r="H411" s="12" t="s">
        <v>20</v>
      </c>
      <c r="I411" s="12">
        <v>1</v>
      </c>
      <c r="J411" s="12" t="s">
        <v>21</v>
      </c>
      <c r="K411" s="12" t="s">
        <v>22</v>
      </c>
      <c r="L411" s="13">
        <v>35</v>
      </c>
    </row>
    <row r="412" spans="1:12" s="10" customFormat="1" ht="18" x14ac:dyDescent="0.25">
      <c r="A412" s="11">
        <v>408</v>
      </c>
      <c r="B412" s="12" t="s">
        <v>442</v>
      </c>
      <c r="C412" s="12" t="str">
        <f t="shared" si="12"/>
        <v>140202</v>
      </c>
      <c r="D412" s="12" t="str">
        <f>"14.140202/2024.00365/BC.I."</f>
        <v>14.140202/2024.00365/BC.I.</v>
      </c>
      <c r="E412" s="12" t="str">
        <f>"201180034360"</f>
        <v>201180034360</v>
      </c>
      <c r="F412" s="12" t="str">
        <f t="shared" si="13"/>
        <v>COMPUTADORA/MICROCOMPUTADORA</v>
      </c>
      <c r="G412" s="12" t="s">
        <v>19</v>
      </c>
      <c r="H412" s="12" t="s">
        <v>20</v>
      </c>
      <c r="I412" s="12">
        <v>1</v>
      </c>
      <c r="J412" s="12" t="s">
        <v>21</v>
      </c>
      <c r="K412" s="12" t="s">
        <v>22</v>
      </c>
      <c r="L412" s="13">
        <v>35</v>
      </c>
    </row>
    <row r="413" spans="1:12" s="10" customFormat="1" ht="18" x14ac:dyDescent="0.25">
      <c r="A413" s="11">
        <v>409</v>
      </c>
      <c r="B413" s="12" t="s">
        <v>442</v>
      </c>
      <c r="C413" s="12" t="str">
        <f t="shared" si="12"/>
        <v>140202</v>
      </c>
      <c r="D413" s="12" t="str">
        <f>"14.140202/2024.00383/BC.I."</f>
        <v>14.140202/2024.00383/BC.I.</v>
      </c>
      <c r="E413" s="12" t="str">
        <f>"201180036213"</f>
        <v>201180036213</v>
      </c>
      <c r="F413" s="12" t="str">
        <f t="shared" si="13"/>
        <v>COMPUTADORA/MICROCOMPUTADORA</v>
      </c>
      <c r="G413" s="12" t="s">
        <v>19</v>
      </c>
      <c r="H413" s="12" t="s">
        <v>20</v>
      </c>
      <c r="I413" s="12">
        <v>1</v>
      </c>
      <c r="J413" s="12" t="s">
        <v>21</v>
      </c>
      <c r="K413" s="12" t="s">
        <v>22</v>
      </c>
      <c r="L413" s="13">
        <v>35</v>
      </c>
    </row>
    <row r="414" spans="1:12" s="10" customFormat="1" ht="18" x14ac:dyDescent="0.25">
      <c r="A414" s="11">
        <v>410</v>
      </c>
      <c r="B414" s="12" t="s">
        <v>442</v>
      </c>
      <c r="C414" s="12" t="str">
        <f t="shared" si="12"/>
        <v>140202</v>
      </c>
      <c r="D414" s="12" t="str">
        <f>"14.140202/2024.00420/BC.O."</f>
        <v>14.140202/2024.00420/BC.O.</v>
      </c>
      <c r="E414" s="12" t="str">
        <f>"1985097863"</f>
        <v>1985097863</v>
      </c>
      <c r="F414" s="12" t="str">
        <f>"MESA/DE TRABAJO CON TARJA DERECHA MD1-2"</f>
        <v>MESA/DE TRABAJO CON TARJA DERECHA MD1-2</v>
      </c>
      <c r="G414" s="12" t="s">
        <v>19</v>
      </c>
      <c r="H414" s="12" t="s">
        <v>20</v>
      </c>
      <c r="I414" s="12">
        <v>1</v>
      </c>
      <c r="J414" s="12" t="s">
        <v>21</v>
      </c>
      <c r="K414" s="12" t="s">
        <v>22</v>
      </c>
      <c r="L414" s="13">
        <v>70</v>
      </c>
    </row>
    <row r="415" spans="1:12" s="10" customFormat="1" ht="18" x14ac:dyDescent="0.25">
      <c r="A415" s="11">
        <v>411</v>
      </c>
      <c r="B415" s="12" t="s">
        <v>442</v>
      </c>
      <c r="C415" s="12" t="str">
        <f t="shared" ref="C415:C428" si="14">"140202"</f>
        <v>140202</v>
      </c>
      <c r="D415" s="12" t="str">
        <f>"14.140202/2024.00418/BC.O."</f>
        <v>14.140202/2024.00418/BC.O.</v>
      </c>
      <c r="E415" s="12" t="str">
        <f>"1986062149"</f>
        <v>1986062149</v>
      </c>
      <c r="F415" s="12" t="str">
        <f>"ARCHIVERO/METALICO DE 4 GAVETAS OFICIO"</f>
        <v>ARCHIVERO/METALICO DE 4 GAVETAS OFICIO</v>
      </c>
      <c r="G415" s="12" t="s">
        <v>19</v>
      </c>
      <c r="H415" s="12" t="s">
        <v>20</v>
      </c>
      <c r="I415" s="12">
        <v>1</v>
      </c>
      <c r="J415" s="12" t="s">
        <v>21</v>
      </c>
      <c r="K415" s="12" t="s">
        <v>22</v>
      </c>
      <c r="L415" s="13">
        <v>40</v>
      </c>
    </row>
    <row r="416" spans="1:12" s="10" customFormat="1" ht="18" x14ac:dyDescent="0.25">
      <c r="A416" s="11">
        <v>412</v>
      </c>
      <c r="B416" s="12" t="s">
        <v>442</v>
      </c>
      <c r="C416" s="12" t="str">
        <f t="shared" si="14"/>
        <v>140202</v>
      </c>
      <c r="D416" s="12" t="str">
        <f>"14.140202/2024.00425/BC.O."</f>
        <v>14.140202/2024.00425/BC.O.</v>
      </c>
      <c r="E416" s="12" t="str">
        <f>"1986502382"</f>
        <v>1986502382</v>
      </c>
      <c r="F416" s="12" t="str">
        <f>"CARRO/CAMILLA"</f>
        <v>CARRO/CAMILLA</v>
      </c>
      <c r="G416" s="12" t="s">
        <v>19</v>
      </c>
      <c r="H416" s="12" t="s">
        <v>20</v>
      </c>
      <c r="I416" s="12">
        <v>1</v>
      </c>
      <c r="J416" s="12" t="s">
        <v>21</v>
      </c>
      <c r="K416" s="12" t="s">
        <v>22</v>
      </c>
      <c r="L416" s="13">
        <v>100</v>
      </c>
    </row>
    <row r="417" spans="1:12" s="10" customFormat="1" ht="18" x14ac:dyDescent="0.25">
      <c r="A417" s="11">
        <v>413</v>
      </c>
      <c r="B417" s="12" t="s">
        <v>442</v>
      </c>
      <c r="C417" s="12" t="str">
        <f t="shared" si="14"/>
        <v>140202</v>
      </c>
      <c r="D417" s="12" t="str">
        <f>"14.140202/2024.00419/BC.O."</f>
        <v>14.140202/2024.00419/BC.O.</v>
      </c>
      <c r="E417" s="12" t="str">
        <f>"1987063894"</f>
        <v>1987063894</v>
      </c>
      <c r="F417" s="12" t="str">
        <f>"ARCHIVERO/METALICO DE GUARDA VISIBLE"</f>
        <v>ARCHIVERO/METALICO DE GUARDA VISIBLE</v>
      </c>
      <c r="G417" s="12" t="s">
        <v>19</v>
      </c>
      <c r="H417" s="12" t="s">
        <v>20</v>
      </c>
      <c r="I417" s="12">
        <v>1</v>
      </c>
      <c r="J417" s="12" t="s">
        <v>21</v>
      </c>
      <c r="K417" s="12" t="s">
        <v>22</v>
      </c>
      <c r="L417" s="13">
        <v>40</v>
      </c>
    </row>
    <row r="418" spans="1:12" s="10" customFormat="1" ht="18" x14ac:dyDescent="0.25">
      <c r="A418" s="11">
        <v>414</v>
      </c>
      <c r="B418" s="12" t="s">
        <v>442</v>
      </c>
      <c r="C418" s="12" t="str">
        <f t="shared" si="14"/>
        <v>140202</v>
      </c>
      <c r="D418" s="12" t="str">
        <f>"14.140202/2024.00421/BC.O."</f>
        <v>14.140202/2024.00421/BC.O.</v>
      </c>
      <c r="E418" s="12" t="str">
        <f>"1987068710"</f>
        <v>1987068710</v>
      </c>
      <c r="F418" s="12" t="str">
        <f>"VITRINA/PARA LABORATORIO MD3-9"</f>
        <v>VITRINA/PARA LABORATORIO MD3-9</v>
      </c>
      <c r="G418" s="12" t="s">
        <v>19</v>
      </c>
      <c r="H418" s="12" t="s">
        <v>20</v>
      </c>
      <c r="I418" s="12">
        <v>1</v>
      </c>
      <c r="J418" s="12" t="s">
        <v>21</v>
      </c>
      <c r="K418" s="12" t="s">
        <v>22</v>
      </c>
      <c r="L418" s="13">
        <v>35</v>
      </c>
    </row>
    <row r="419" spans="1:12" s="10" customFormat="1" ht="18" x14ac:dyDescent="0.25">
      <c r="A419" s="11">
        <v>415</v>
      </c>
      <c r="B419" s="12" t="s">
        <v>442</v>
      </c>
      <c r="C419" s="12" t="str">
        <f t="shared" si="14"/>
        <v>140202</v>
      </c>
      <c r="D419" s="12" t="str">
        <f>"14.140202/2024.00426/BC.O."</f>
        <v>14.140202/2024.00426/BC.O.</v>
      </c>
      <c r="E419" s="12" t="str">
        <f>"1987073380"</f>
        <v>1987073380</v>
      </c>
      <c r="F419" s="12" t="str">
        <f>"CARRO/CAMILLA"</f>
        <v>CARRO/CAMILLA</v>
      </c>
      <c r="G419" s="12" t="s">
        <v>19</v>
      </c>
      <c r="H419" s="12" t="s">
        <v>20</v>
      </c>
      <c r="I419" s="12">
        <v>1</v>
      </c>
      <c r="J419" s="12" t="s">
        <v>21</v>
      </c>
      <c r="K419" s="12" t="s">
        <v>22</v>
      </c>
      <c r="L419" s="13">
        <v>100</v>
      </c>
    </row>
    <row r="420" spans="1:12" s="10" customFormat="1" ht="18" x14ac:dyDescent="0.25">
      <c r="A420" s="11">
        <v>416</v>
      </c>
      <c r="B420" s="12" t="s">
        <v>442</v>
      </c>
      <c r="C420" s="12" t="str">
        <f t="shared" si="14"/>
        <v>140202</v>
      </c>
      <c r="D420" s="12" t="str">
        <f>"14.140202/2024.00427/BC.O."</f>
        <v>14.140202/2024.00427/BC.O.</v>
      </c>
      <c r="E420" s="12" t="str">
        <f>"1987073381"</f>
        <v>1987073381</v>
      </c>
      <c r="F420" s="12" t="str">
        <f>"CARRO/CAMILLA"</f>
        <v>CARRO/CAMILLA</v>
      </c>
      <c r="G420" s="12" t="s">
        <v>19</v>
      </c>
      <c r="H420" s="12" t="s">
        <v>20</v>
      </c>
      <c r="I420" s="12">
        <v>1</v>
      </c>
      <c r="J420" s="12" t="s">
        <v>21</v>
      </c>
      <c r="K420" s="12" t="s">
        <v>22</v>
      </c>
      <c r="L420" s="13">
        <v>100</v>
      </c>
    </row>
    <row r="421" spans="1:12" s="10" customFormat="1" ht="18" x14ac:dyDescent="0.25">
      <c r="A421" s="11">
        <v>417</v>
      </c>
      <c r="B421" s="12" t="s">
        <v>442</v>
      </c>
      <c r="C421" s="12" t="str">
        <f t="shared" si="14"/>
        <v>140202</v>
      </c>
      <c r="D421" s="12" t="str">
        <f>"14.140202/2024.00428/BC.O."</f>
        <v>14.140202/2024.00428/BC.O.</v>
      </c>
      <c r="E421" s="12" t="str">
        <f>"1987073382"</f>
        <v>1987073382</v>
      </c>
      <c r="F421" s="12" t="str">
        <f>"CARRO/CAMILLA"</f>
        <v>CARRO/CAMILLA</v>
      </c>
      <c r="G421" s="12" t="s">
        <v>19</v>
      </c>
      <c r="H421" s="12" t="s">
        <v>20</v>
      </c>
      <c r="I421" s="12">
        <v>1</v>
      </c>
      <c r="J421" s="12" t="s">
        <v>21</v>
      </c>
      <c r="K421" s="12" t="s">
        <v>22</v>
      </c>
      <c r="L421" s="13">
        <v>100</v>
      </c>
    </row>
    <row r="422" spans="1:12" s="10" customFormat="1" ht="18" x14ac:dyDescent="0.25">
      <c r="A422" s="11">
        <v>418</v>
      </c>
      <c r="B422" s="12" t="s">
        <v>442</v>
      </c>
      <c r="C422" s="12" t="str">
        <f t="shared" si="14"/>
        <v>140202</v>
      </c>
      <c r="D422" s="12" t="str">
        <f>"14.140202/2024.00429/BC.O."</f>
        <v>14.140202/2024.00429/BC.O.</v>
      </c>
      <c r="E422" s="12" t="str">
        <f>"1999000072"</f>
        <v>1999000072</v>
      </c>
      <c r="F422" s="12" t="str">
        <f>"EQUIPO/PARA CRIOCIRUGIA"</f>
        <v>EQUIPO/PARA CRIOCIRUGIA</v>
      </c>
      <c r="G422" s="12" t="s">
        <v>19</v>
      </c>
      <c r="H422" s="12" t="s">
        <v>20</v>
      </c>
      <c r="I422" s="12">
        <v>1</v>
      </c>
      <c r="J422" s="12" t="s">
        <v>21</v>
      </c>
      <c r="K422" s="12" t="s">
        <v>22</v>
      </c>
      <c r="L422" s="13">
        <v>50</v>
      </c>
    </row>
    <row r="423" spans="1:12" s="10" customFormat="1" ht="18" x14ac:dyDescent="0.25">
      <c r="A423" s="11">
        <v>419</v>
      </c>
      <c r="B423" s="12" t="s">
        <v>442</v>
      </c>
      <c r="C423" s="12" t="str">
        <f t="shared" si="14"/>
        <v>140202</v>
      </c>
      <c r="D423" s="12" t="str">
        <f>"14.140202/2024.00423/BC.O."</f>
        <v>14.140202/2024.00423/BC.O.</v>
      </c>
      <c r="E423" s="12" t="str">
        <f>"2000906382"</f>
        <v>2000906382</v>
      </c>
      <c r="F423" s="12" t="str">
        <f>"EQUIPO DE RAYOS X/PARA MASTOGRAFIA"</f>
        <v>EQUIPO DE RAYOS X/PARA MASTOGRAFIA</v>
      </c>
      <c r="G423" s="12" t="s">
        <v>19</v>
      </c>
      <c r="H423" s="12" t="s">
        <v>20</v>
      </c>
      <c r="I423" s="12">
        <v>1</v>
      </c>
      <c r="J423" s="12" t="s">
        <v>21</v>
      </c>
      <c r="K423" s="12" t="s">
        <v>22</v>
      </c>
      <c r="L423" s="13">
        <v>1500</v>
      </c>
    </row>
    <row r="424" spans="1:12" s="10" customFormat="1" ht="18" x14ac:dyDescent="0.25">
      <c r="A424" s="11">
        <v>420</v>
      </c>
      <c r="B424" s="12" t="s">
        <v>442</v>
      </c>
      <c r="C424" s="12" t="str">
        <f t="shared" si="14"/>
        <v>140202</v>
      </c>
      <c r="D424" s="12" t="str">
        <f>"14.140202/2024.00424/BC.O."</f>
        <v>14.140202/2024.00424/BC.O.</v>
      </c>
      <c r="E424" s="12" t="str">
        <f>"2000946713"</f>
        <v>2000946713</v>
      </c>
      <c r="F424" s="12" t="str">
        <f>"MONITOR/DE SIGNOS VITALES"</f>
        <v>MONITOR/DE SIGNOS VITALES</v>
      </c>
      <c r="G424" s="12" t="s">
        <v>19</v>
      </c>
      <c r="H424" s="12" t="s">
        <v>20</v>
      </c>
      <c r="I424" s="12">
        <v>1</v>
      </c>
      <c r="J424" s="12" t="s">
        <v>21</v>
      </c>
      <c r="K424" s="12" t="s">
        <v>22</v>
      </c>
      <c r="L424" s="13">
        <v>150</v>
      </c>
    </row>
    <row r="425" spans="1:12" s="10" customFormat="1" ht="18" x14ac:dyDescent="0.25">
      <c r="A425" s="19">
        <v>421</v>
      </c>
      <c r="B425" s="20" t="s">
        <v>442</v>
      </c>
      <c r="C425" s="20" t="str">
        <f t="shared" si="14"/>
        <v>140202</v>
      </c>
      <c r="D425" s="20" t="str">
        <f>"14.140202/2024.00432/BC.O."</f>
        <v>14.140202/2024.00432/BC.O.</v>
      </c>
      <c r="E425" s="20" t="str">
        <f>"200380003497"</f>
        <v>200380003497</v>
      </c>
      <c r="F425" s="20" t="str">
        <f>"ESTERILIZADOR/A BASE DE VAPOR"</f>
        <v>ESTERILIZADOR/A BASE DE VAPOR</v>
      </c>
      <c r="G425" s="20" t="s">
        <v>19</v>
      </c>
      <c r="H425" s="20" t="s">
        <v>20</v>
      </c>
      <c r="I425" s="20">
        <v>1</v>
      </c>
      <c r="J425" s="20" t="s">
        <v>21</v>
      </c>
      <c r="K425" s="20" t="s">
        <v>410</v>
      </c>
      <c r="L425" s="13">
        <v>6500</v>
      </c>
    </row>
    <row r="426" spans="1:12" s="10" customFormat="1" ht="18" x14ac:dyDescent="0.25">
      <c r="A426" s="11">
        <v>422</v>
      </c>
      <c r="B426" s="12" t="s">
        <v>442</v>
      </c>
      <c r="C426" s="12" t="str">
        <f t="shared" si="14"/>
        <v>140202</v>
      </c>
      <c r="D426" s="12" t="str">
        <f>"14.140202/2024.00422/BC.O."</f>
        <v>14.140202/2024.00422/BC.O.</v>
      </c>
      <c r="E426" s="12" t="str">
        <f>"200400032388"</f>
        <v>200400032388</v>
      </c>
      <c r="F426" s="12" t="str">
        <f>"CARRO/CAMILLA"</f>
        <v>CARRO/CAMILLA</v>
      </c>
      <c r="G426" s="12" t="s">
        <v>19</v>
      </c>
      <c r="H426" s="12" t="s">
        <v>20</v>
      </c>
      <c r="I426" s="12">
        <v>1</v>
      </c>
      <c r="J426" s="12" t="s">
        <v>21</v>
      </c>
      <c r="K426" s="12" t="s">
        <v>22</v>
      </c>
      <c r="L426" s="13">
        <v>100</v>
      </c>
    </row>
    <row r="427" spans="1:12" s="10" customFormat="1" ht="18" x14ac:dyDescent="0.25">
      <c r="A427" s="11">
        <v>423</v>
      </c>
      <c r="B427" s="12" t="s">
        <v>442</v>
      </c>
      <c r="C427" s="12" t="str">
        <f t="shared" si="14"/>
        <v>140202</v>
      </c>
      <c r="D427" s="12" t="str">
        <f>"14.140202/2024.00430/BC.O."</f>
        <v>14.140202/2024.00430/BC.O.</v>
      </c>
      <c r="E427" s="12" t="str">
        <f>"201180000893"</f>
        <v>201180000893</v>
      </c>
      <c r="F427" s="12" t="str">
        <f>"COLPOSCOPIO"</f>
        <v>COLPOSCOPIO</v>
      </c>
      <c r="G427" s="12" t="s">
        <v>19</v>
      </c>
      <c r="H427" s="12" t="s">
        <v>20</v>
      </c>
      <c r="I427" s="12">
        <v>1</v>
      </c>
      <c r="J427" s="12" t="s">
        <v>21</v>
      </c>
      <c r="K427" s="12" t="s">
        <v>22</v>
      </c>
      <c r="L427" s="13">
        <v>35</v>
      </c>
    </row>
    <row r="428" spans="1:12" s="10" customFormat="1" ht="18" x14ac:dyDescent="0.25">
      <c r="A428" s="11">
        <v>424</v>
      </c>
      <c r="B428" s="12" t="s">
        <v>442</v>
      </c>
      <c r="C428" s="12" t="str">
        <f t="shared" si="14"/>
        <v>140202</v>
      </c>
      <c r="D428" s="12" t="str">
        <f>"14.140202/2024.00431/BC.O."</f>
        <v>14.140202/2024.00431/BC.O.</v>
      </c>
      <c r="E428" s="12" t="str">
        <f>"201180000911"</f>
        <v>201180000911</v>
      </c>
      <c r="F428" s="12" t="str">
        <f>"COLPOSCOPIO"</f>
        <v>COLPOSCOPIO</v>
      </c>
      <c r="G428" s="12" t="s">
        <v>19</v>
      </c>
      <c r="H428" s="12" t="s">
        <v>20</v>
      </c>
      <c r="I428" s="12">
        <v>1</v>
      </c>
      <c r="J428" s="12" t="s">
        <v>21</v>
      </c>
      <c r="K428" s="12" t="s">
        <v>22</v>
      </c>
      <c r="L428" s="13">
        <v>35</v>
      </c>
    </row>
    <row r="429" spans="1:12" s="10" customFormat="1" ht="18" x14ac:dyDescent="0.25">
      <c r="A429" s="11">
        <v>425</v>
      </c>
      <c r="B429" s="12" t="s">
        <v>443</v>
      </c>
      <c r="C429" s="12" t="str">
        <f t="shared" ref="C429:C464" si="15">"140102"</f>
        <v>140102</v>
      </c>
      <c r="D429" s="12" t="str">
        <f>"14.140102/2024.00175/BC.I."</f>
        <v>14.140102/2024.00175/BC.I.</v>
      </c>
      <c r="E429" s="12" t="str">
        <f>"201080026040"</f>
        <v>201080026040</v>
      </c>
      <c r="F429" s="12" t="str">
        <f t="shared" ref="F429:F455" si="16">"COMPUTADORA/MICROCOMPUTADORA"</f>
        <v>COMPUTADORA/MICROCOMPUTADORA</v>
      </c>
      <c r="G429" s="12" t="s">
        <v>19</v>
      </c>
      <c r="H429" s="12" t="s">
        <v>20</v>
      </c>
      <c r="I429" s="12">
        <v>1</v>
      </c>
      <c r="J429" s="12" t="s">
        <v>21</v>
      </c>
      <c r="K429" s="12" t="s">
        <v>22</v>
      </c>
      <c r="L429" s="13">
        <v>35</v>
      </c>
    </row>
    <row r="430" spans="1:12" s="10" customFormat="1" ht="18" x14ac:dyDescent="0.25">
      <c r="A430" s="11">
        <v>426</v>
      </c>
      <c r="B430" s="12" t="s">
        <v>443</v>
      </c>
      <c r="C430" s="12" t="str">
        <f t="shared" si="15"/>
        <v>140102</v>
      </c>
      <c r="D430" s="12" t="str">
        <f>"14.140102/2024.00167/BC.I."</f>
        <v>14.140102/2024.00167/BC.I.</v>
      </c>
      <c r="E430" s="12" t="str">
        <f>"201080026051"</f>
        <v>201080026051</v>
      </c>
      <c r="F430" s="12" t="str">
        <f t="shared" si="16"/>
        <v>COMPUTADORA/MICROCOMPUTADORA</v>
      </c>
      <c r="G430" s="12" t="s">
        <v>19</v>
      </c>
      <c r="H430" s="12" t="s">
        <v>20</v>
      </c>
      <c r="I430" s="12">
        <v>1</v>
      </c>
      <c r="J430" s="12" t="s">
        <v>21</v>
      </c>
      <c r="K430" s="12" t="s">
        <v>22</v>
      </c>
      <c r="L430" s="13">
        <v>35</v>
      </c>
    </row>
    <row r="431" spans="1:12" s="10" customFormat="1" ht="18" x14ac:dyDescent="0.25">
      <c r="A431" s="11">
        <v>427</v>
      </c>
      <c r="B431" s="12" t="s">
        <v>443</v>
      </c>
      <c r="C431" s="12" t="str">
        <f t="shared" si="15"/>
        <v>140102</v>
      </c>
      <c r="D431" s="12" t="str">
        <f>"14.140102/2024.00171/BC.I."</f>
        <v>14.140102/2024.00171/BC.I.</v>
      </c>
      <c r="E431" s="12" t="str">
        <f>"201080026177"</f>
        <v>201080026177</v>
      </c>
      <c r="F431" s="12" t="str">
        <f t="shared" si="16"/>
        <v>COMPUTADORA/MICROCOMPUTADORA</v>
      </c>
      <c r="G431" s="12" t="s">
        <v>19</v>
      </c>
      <c r="H431" s="12" t="s">
        <v>20</v>
      </c>
      <c r="I431" s="12">
        <v>1</v>
      </c>
      <c r="J431" s="12" t="s">
        <v>21</v>
      </c>
      <c r="K431" s="12" t="s">
        <v>22</v>
      </c>
      <c r="L431" s="13">
        <v>35</v>
      </c>
    </row>
    <row r="432" spans="1:12" s="10" customFormat="1" ht="18" x14ac:dyDescent="0.25">
      <c r="A432" s="11">
        <v>428</v>
      </c>
      <c r="B432" s="12" t="s">
        <v>443</v>
      </c>
      <c r="C432" s="12" t="str">
        <f t="shared" si="15"/>
        <v>140102</v>
      </c>
      <c r="D432" s="12" t="str">
        <f>"14.140102/2024.00182/BC.I."</f>
        <v>14.140102/2024.00182/BC.I.</v>
      </c>
      <c r="E432" s="12" t="str">
        <f>"201080026199"</f>
        <v>201080026199</v>
      </c>
      <c r="F432" s="12" t="str">
        <f t="shared" si="16"/>
        <v>COMPUTADORA/MICROCOMPUTADORA</v>
      </c>
      <c r="G432" s="12" t="s">
        <v>19</v>
      </c>
      <c r="H432" s="12" t="s">
        <v>20</v>
      </c>
      <c r="I432" s="12">
        <v>1</v>
      </c>
      <c r="J432" s="12" t="s">
        <v>21</v>
      </c>
      <c r="K432" s="12" t="s">
        <v>22</v>
      </c>
      <c r="L432" s="13">
        <v>35</v>
      </c>
    </row>
    <row r="433" spans="1:12" s="10" customFormat="1" ht="18" x14ac:dyDescent="0.25">
      <c r="A433" s="11">
        <v>429</v>
      </c>
      <c r="B433" s="12" t="s">
        <v>443</v>
      </c>
      <c r="C433" s="12" t="str">
        <f t="shared" si="15"/>
        <v>140102</v>
      </c>
      <c r="D433" s="12" t="str">
        <f>"14.140102/2024.00178/BC.I."</f>
        <v>14.140102/2024.00178/BC.I.</v>
      </c>
      <c r="E433" s="12" t="str">
        <f>"201080026203"</f>
        <v>201080026203</v>
      </c>
      <c r="F433" s="12" t="str">
        <f t="shared" si="16"/>
        <v>COMPUTADORA/MICROCOMPUTADORA</v>
      </c>
      <c r="G433" s="12" t="s">
        <v>19</v>
      </c>
      <c r="H433" s="12" t="s">
        <v>20</v>
      </c>
      <c r="I433" s="12">
        <v>1</v>
      </c>
      <c r="J433" s="12" t="s">
        <v>21</v>
      </c>
      <c r="K433" s="12" t="s">
        <v>22</v>
      </c>
      <c r="L433" s="13">
        <v>35</v>
      </c>
    </row>
    <row r="434" spans="1:12" s="10" customFormat="1" ht="18" x14ac:dyDescent="0.25">
      <c r="A434" s="11">
        <v>430</v>
      </c>
      <c r="B434" s="12" t="s">
        <v>443</v>
      </c>
      <c r="C434" s="12" t="str">
        <f t="shared" si="15"/>
        <v>140102</v>
      </c>
      <c r="D434" s="12" t="str">
        <f>"14.140102/2024.00179/BC.I."</f>
        <v>14.140102/2024.00179/BC.I.</v>
      </c>
      <c r="E434" s="12" t="str">
        <f>"201080026222"</f>
        <v>201080026222</v>
      </c>
      <c r="F434" s="12" t="str">
        <f t="shared" si="16"/>
        <v>COMPUTADORA/MICROCOMPUTADORA</v>
      </c>
      <c r="G434" s="12" t="s">
        <v>19</v>
      </c>
      <c r="H434" s="12" t="s">
        <v>20</v>
      </c>
      <c r="I434" s="12">
        <v>1</v>
      </c>
      <c r="J434" s="12" t="s">
        <v>21</v>
      </c>
      <c r="K434" s="12" t="s">
        <v>22</v>
      </c>
      <c r="L434" s="13">
        <v>35</v>
      </c>
    </row>
    <row r="435" spans="1:12" s="10" customFormat="1" ht="18" x14ac:dyDescent="0.25">
      <c r="A435" s="11">
        <v>431</v>
      </c>
      <c r="B435" s="12" t="s">
        <v>443</v>
      </c>
      <c r="C435" s="12" t="str">
        <f t="shared" si="15"/>
        <v>140102</v>
      </c>
      <c r="D435" s="12" t="str">
        <f>"14.140102/2024.00180/BC.I."</f>
        <v>14.140102/2024.00180/BC.I.</v>
      </c>
      <c r="E435" s="12" t="str">
        <f>"201080026826"</f>
        <v>201080026826</v>
      </c>
      <c r="F435" s="12" t="str">
        <f t="shared" si="16"/>
        <v>COMPUTADORA/MICROCOMPUTADORA</v>
      </c>
      <c r="G435" s="12" t="s">
        <v>19</v>
      </c>
      <c r="H435" s="12" t="s">
        <v>20</v>
      </c>
      <c r="I435" s="12">
        <v>1</v>
      </c>
      <c r="J435" s="12" t="s">
        <v>21</v>
      </c>
      <c r="K435" s="12" t="s">
        <v>22</v>
      </c>
      <c r="L435" s="13">
        <v>35</v>
      </c>
    </row>
    <row r="436" spans="1:12" s="10" customFormat="1" ht="18" x14ac:dyDescent="0.25">
      <c r="A436" s="11">
        <v>432</v>
      </c>
      <c r="B436" s="12" t="s">
        <v>443</v>
      </c>
      <c r="C436" s="12" t="str">
        <f t="shared" si="15"/>
        <v>140102</v>
      </c>
      <c r="D436" s="12" t="str">
        <f>"14.140102/2024.00188/BC.I."</f>
        <v>14.140102/2024.00188/BC.I.</v>
      </c>
      <c r="E436" s="12" t="str">
        <f>"201080027238"</f>
        <v>201080027238</v>
      </c>
      <c r="F436" s="12" t="str">
        <f t="shared" si="16"/>
        <v>COMPUTADORA/MICROCOMPUTADORA</v>
      </c>
      <c r="G436" s="12" t="s">
        <v>19</v>
      </c>
      <c r="H436" s="12" t="s">
        <v>20</v>
      </c>
      <c r="I436" s="12">
        <v>1</v>
      </c>
      <c r="J436" s="12" t="s">
        <v>21</v>
      </c>
      <c r="K436" s="12" t="s">
        <v>22</v>
      </c>
      <c r="L436" s="13">
        <v>35</v>
      </c>
    </row>
    <row r="437" spans="1:12" s="10" customFormat="1" ht="18" x14ac:dyDescent="0.25">
      <c r="A437" s="11">
        <v>433</v>
      </c>
      <c r="B437" s="12" t="s">
        <v>443</v>
      </c>
      <c r="C437" s="12" t="str">
        <f t="shared" si="15"/>
        <v>140102</v>
      </c>
      <c r="D437" s="12" t="str">
        <f>"14.140102/2024.00172/BC.I."</f>
        <v>14.140102/2024.00172/BC.I.</v>
      </c>
      <c r="E437" s="12" t="str">
        <f>"201080027239"</f>
        <v>201080027239</v>
      </c>
      <c r="F437" s="12" t="str">
        <f t="shared" si="16"/>
        <v>COMPUTADORA/MICROCOMPUTADORA</v>
      </c>
      <c r="G437" s="12" t="s">
        <v>19</v>
      </c>
      <c r="H437" s="12" t="s">
        <v>20</v>
      </c>
      <c r="I437" s="12">
        <v>1</v>
      </c>
      <c r="J437" s="12" t="s">
        <v>21</v>
      </c>
      <c r="K437" s="12" t="s">
        <v>22</v>
      </c>
      <c r="L437" s="13">
        <v>35</v>
      </c>
    </row>
    <row r="438" spans="1:12" s="10" customFormat="1" ht="18" x14ac:dyDescent="0.25">
      <c r="A438" s="11">
        <v>434</v>
      </c>
      <c r="B438" s="12" t="s">
        <v>443</v>
      </c>
      <c r="C438" s="12" t="str">
        <f t="shared" si="15"/>
        <v>140102</v>
      </c>
      <c r="D438" s="12" t="str">
        <f>"14.140102/2024.00181/BC.I."</f>
        <v>14.140102/2024.00181/BC.I.</v>
      </c>
      <c r="E438" s="12" t="str">
        <f>"201080027680"</f>
        <v>201080027680</v>
      </c>
      <c r="F438" s="12" t="str">
        <f t="shared" si="16"/>
        <v>COMPUTADORA/MICROCOMPUTADORA</v>
      </c>
      <c r="G438" s="12" t="s">
        <v>19</v>
      </c>
      <c r="H438" s="12" t="s">
        <v>20</v>
      </c>
      <c r="I438" s="12">
        <v>1</v>
      </c>
      <c r="J438" s="12" t="s">
        <v>21</v>
      </c>
      <c r="K438" s="12" t="s">
        <v>22</v>
      </c>
      <c r="L438" s="13">
        <v>35</v>
      </c>
    </row>
    <row r="439" spans="1:12" s="10" customFormat="1" ht="18" x14ac:dyDescent="0.25">
      <c r="A439" s="11">
        <v>435</v>
      </c>
      <c r="B439" s="12" t="s">
        <v>443</v>
      </c>
      <c r="C439" s="12" t="str">
        <f t="shared" si="15"/>
        <v>140102</v>
      </c>
      <c r="D439" s="12" t="str">
        <f>"14.140102/2024.00168/BC.I."</f>
        <v>14.140102/2024.00168/BC.I.</v>
      </c>
      <c r="E439" s="12" t="str">
        <f>"201080027686"</f>
        <v>201080027686</v>
      </c>
      <c r="F439" s="12" t="str">
        <f t="shared" si="16"/>
        <v>COMPUTADORA/MICROCOMPUTADORA</v>
      </c>
      <c r="G439" s="12" t="s">
        <v>19</v>
      </c>
      <c r="H439" s="12" t="s">
        <v>20</v>
      </c>
      <c r="I439" s="12">
        <v>1</v>
      </c>
      <c r="J439" s="12" t="s">
        <v>21</v>
      </c>
      <c r="K439" s="12" t="s">
        <v>22</v>
      </c>
      <c r="L439" s="13">
        <v>35</v>
      </c>
    </row>
    <row r="440" spans="1:12" s="10" customFormat="1" ht="18" x14ac:dyDescent="0.25">
      <c r="A440" s="11">
        <v>436</v>
      </c>
      <c r="B440" s="12" t="s">
        <v>443</v>
      </c>
      <c r="C440" s="12" t="str">
        <f t="shared" si="15"/>
        <v>140102</v>
      </c>
      <c r="D440" s="12" t="str">
        <f>"14.140102/2024.00170/BC.I."</f>
        <v>14.140102/2024.00170/BC.I.</v>
      </c>
      <c r="E440" s="12" t="str">
        <f>"201080032754"</f>
        <v>201080032754</v>
      </c>
      <c r="F440" s="12" t="str">
        <f t="shared" si="16"/>
        <v>COMPUTADORA/MICROCOMPUTADORA</v>
      </c>
      <c r="G440" s="12" t="s">
        <v>19</v>
      </c>
      <c r="H440" s="12" t="s">
        <v>20</v>
      </c>
      <c r="I440" s="12">
        <v>1</v>
      </c>
      <c r="J440" s="12" t="s">
        <v>21</v>
      </c>
      <c r="K440" s="12" t="s">
        <v>22</v>
      </c>
      <c r="L440" s="13">
        <v>35</v>
      </c>
    </row>
    <row r="441" spans="1:12" s="10" customFormat="1" ht="18" x14ac:dyDescent="0.25">
      <c r="A441" s="11">
        <v>437</v>
      </c>
      <c r="B441" s="12" t="s">
        <v>443</v>
      </c>
      <c r="C441" s="12" t="str">
        <f t="shared" si="15"/>
        <v>140102</v>
      </c>
      <c r="D441" s="12" t="str">
        <f>"14.140102/2024.00163/BC.I."</f>
        <v>14.140102/2024.00163/BC.I.</v>
      </c>
      <c r="E441" s="12" t="str">
        <f>"201080033959"</f>
        <v>201080033959</v>
      </c>
      <c r="F441" s="12" t="str">
        <f t="shared" si="16"/>
        <v>COMPUTADORA/MICROCOMPUTADORA</v>
      </c>
      <c r="G441" s="12" t="s">
        <v>19</v>
      </c>
      <c r="H441" s="12" t="s">
        <v>20</v>
      </c>
      <c r="I441" s="12">
        <v>1</v>
      </c>
      <c r="J441" s="12" t="s">
        <v>21</v>
      </c>
      <c r="K441" s="12" t="s">
        <v>22</v>
      </c>
      <c r="L441" s="13">
        <v>35</v>
      </c>
    </row>
    <row r="442" spans="1:12" s="10" customFormat="1" ht="18" x14ac:dyDescent="0.25">
      <c r="A442" s="11">
        <v>438</v>
      </c>
      <c r="B442" s="12" t="s">
        <v>443</v>
      </c>
      <c r="C442" s="12" t="str">
        <f t="shared" si="15"/>
        <v>140102</v>
      </c>
      <c r="D442" s="12" t="str">
        <f>"14.140102/2024.00169/BC.I."</f>
        <v>14.140102/2024.00169/BC.I.</v>
      </c>
      <c r="E442" s="12" t="str">
        <f>"201080034030"</f>
        <v>201080034030</v>
      </c>
      <c r="F442" s="12" t="str">
        <f t="shared" si="16"/>
        <v>COMPUTADORA/MICROCOMPUTADORA</v>
      </c>
      <c r="G442" s="12" t="s">
        <v>19</v>
      </c>
      <c r="H442" s="12" t="s">
        <v>20</v>
      </c>
      <c r="I442" s="12">
        <v>1</v>
      </c>
      <c r="J442" s="12" t="s">
        <v>21</v>
      </c>
      <c r="K442" s="12" t="s">
        <v>22</v>
      </c>
      <c r="L442" s="13">
        <v>35</v>
      </c>
    </row>
    <row r="443" spans="1:12" s="10" customFormat="1" ht="18" x14ac:dyDescent="0.25">
      <c r="A443" s="11">
        <v>439</v>
      </c>
      <c r="B443" s="12" t="s">
        <v>443</v>
      </c>
      <c r="C443" s="12" t="str">
        <f t="shared" si="15"/>
        <v>140102</v>
      </c>
      <c r="D443" s="12" t="str">
        <f>"14.140102/2024.00183/BC.I."</f>
        <v>14.140102/2024.00183/BC.I.</v>
      </c>
      <c r="E443" s="12" t="str">
        <f>"201080034034"</f>
        <v>201080034034</v>
      </c>
      <c r="F443" s="12" t="str">
        <f t="shared" si="16"/>
        <v>COMPUTADORA/MICROCOMPUTADORA</v>
      </c>
      <c r="G443" s="12" t="s">
        <v>19</v>
      </c>
      <c r="H443" s="12" t="s">
        <v>20</v>
      </c>
      <c r="I443" s="12">
        <v>1</v>
      </c>
      <c r="J443" s="12" t="s">
        <v>21</v>
      </c>
      <c r="K443" s="12" t="s">
        <v>22</v>
      </c>
      <c r="L443" s="13">
        <v>35</v>
      </c>
    </row>
    <row r="444" spans="1:12" s="10" customFormat="1" ht="18" x14ac:dyDescent="0.25">
      <c r="A444" s="11">
        <v>440</v>
      </c>
      <c r="B444" s="12" t="s">
        <v>443</v>
      </c>
      <c r="C444" s="12" t="str">
        <f t="shared" si="15"/>
        <v>140102</v>
      </c>
      <c r="D444" s="12" t="str">
        <f>"14.140102/2024.00165/BC.I."</f>
        <v>14.140102/2024.00165/BC.I.</v>
      </c>
      <c r="E444" s="12" t="str">
        <f>"201080034077"</f>
        <v>201080034077</v>
      </c>
      <c r="F444" s="12" t="str">
        <f t="shared" si="16"/>
        <v>COMPUTADORA/MICROCOMPUTADORA</v>
      </c>
      <c r="G444" s="12" t="s">
        <v>19</v>
      </c>
      <c r="H444" s="12" t="s">
        <v>20</v>
      </c>
      <c r="I444" s="12">
        <v>1</v>
      </c>
      <c r="J444" s="12" t="s">
        <v>21</v>
      </c>
      <c r="K444" s="12" t="s">
        <v>22</v>
      </c>
      <c r="L444" s="13">
        <v>35</v>
      </c>
    </row>
    <row r="445" spans="1:12" s="10" customFormat="1" ht="18" x14ac:dyDescent="0.25">
      <c r="A445" s="11">
        <v>441</v>
      </c>
      <c r="B445" s="12" t="s">
        <v>443</v>
      </c>
      <c r="C445" s="12" t="str">
        <f t="shared" si="15"/>
        <v>140102</v>
      </c>
      <c r="D445" s="12" t="str">
        <f>"14.140102/2024.00184/BC.I."</f>
        <v>14.140102/2024.00184/BC.I.</v>
      </c>
      <c r="E445" s="12" t="str">
        <f>"201080034090"</f>
        <v>201080034090</v>
      </c>
      <c r="F445" s="12" t="str">
        <f t="shared" si="16"/>
        <v>COMPUTADORA/MICROCOMPUTADORA</v>
      </c>
      <c r="G445" s="12" t="s">
        <v>19</v>
      </c>
      <c r="H445" s="12" t="s">
        <v>20</v>
      </c>
      <c r="I445" s="12">
        <v>1</v>
      </c>
      <c r="J445" s="12" t="s">
        <v>21</v>
      </c>
      <c r="K445" s="12" t="s">
        <v>22</v>
      </c>
      <c r="L445" s="13">
        <v>35</v>
      </c>
    </row>
    <row r="446" spans="1:12" s="10" customFormat="1" ht="18" x14ac:dyDescent="0.25">
      <c r="A446" s="11">
        <v>442</v>
      </c>
      <c r="B446" s="12" t="s">
        <v>443</v>
      </c>
      <c r="C446" s="12" t="str">
        <f t="shared" si="15"/>
        <v>140102</v>
      </c>
      <c r="D446" s="12" t="str">
        <f>"14.140102/2024.00186/BC.I."</f>
        <v>14.140102/2024.00186/BC.I.</v>
      </c>
      <c r="E446" s="12" t="str">
        <f>"201080034091"</f>
        <v>201080034091</v>
      </c>
      <c r="F446" s="12" t="str">
        <f t="shared" si="16"/>
        <v>COMPUTADORA/MICROCOMPUTADORA</v>
      </c>
      <c r="G446" s="12" t="s">
        <v>19</v>
      </c>
      <c r="H446" s="12" t="s">
        <v>20</v>
      </c>
      <c r="I446" s="12">
        <v>1</v>
      </c>
      <c r="J446" s="12" t="s">
        <v>21</v>
      </c>
      <c r="K446" s="12" t="s">
        <v>22</v>
      </c>
      <c r="L446" s="13">
        <v>35</v>
      </c>
    </row>
    <row r="447" spans="1:12" s="10" customFormat="1" ht="18" x14ac:dyDescent="0.25">
      <c r="A447" s="11">
        <v>443</v>
      </c>
      <c r="B447" s="12" t="s">
        <v>443</v>
      </c>
      <c r="C447" s="12" t="str">
        <f t="shared" si="15"/>
        <v>140102</v>
      </c>
      <c r="D447" s="12" t="str">
        <f>"14.140102/2024.00176/BC.I."</f>
        <v>14.140102/2024.00176/BC.I.</v>
      </c>
      <c r="E447" s="12" t="str">
        <f>"201080034094"</f>
        <v>201080034094</v>
      </c>
      <c r="F447" s="12" t="str">
        <f t="shared" si="16"/>
        <v>COMPUTADORA/MICROCOMPUTADORA</v>
      </c>
      <c r="G447" s="12" t="s">
        <v>19</v>
      </c>
      <c r="H447" s="12" t="s">
        <v>20</v>
      </c>
      <c r="I447" s="12">
        <v>1</v>
      </c>
      <c r="J447" s="12" t="s">
        <v>21</v>
      </c>
      <c r="K447" s="12" t="s">
        <v>22</v>
      </c>
      <c r="L447" s="13">
        <v>35</v>
      </c>
    </row>
    <row r="448" spans="1:12" s="10" customFormat="1" ht="18" x14ac:dyDescent="0.25">
      <c r="A448" s="11">
        <v>444</v>
      </c>
      <c r="B448" s="12" t="s">
        <v>443</v>
      </c>
      <c r="C448" s="12" t="str">
        <f t="shared" si="15"/>
        <v>140102</v>
      </c>
      <c r="D448" s="12" t="str">
        <f>"14.140102/2024.00166/BC.I."</f>
        <v>14.140102/2024.00166/BC.I.</v>
      </c>
      <c r="E448" s="12" t="str">
        <f>"201080034176"</f>
        <v>201080034176</v>
      </c>
      <c r="F448" s="12" t="str">
        <f t="shared" si="16"/>
        <v>COMPUTADORA/MICROCOMPUTADORA</v>
      </c>
      <c r="G448" s="12" t="s">
        <v>19</v>
      </c>
      <c r="H448" s="12" t="s">
        <v>20</v>
      </c>
      <c r="I448" s="12">
        <v>1</v>
      </c>
      <c r="J448" s="12" t="s">
        <v>21</v>
      </c>
      <c r="K448" s="12" t="s">
        <v>22</v>
      </c>
      <c r="L448" s="13">
        <v>35</v>
      </c>
    </row>
    <row r="449" spans="1:12" s="10" customFormat="1" ht="18" x14ac:dyDescent="0.25">
      <c r="A449" s="11">
        <v>445</v>
      </c>
      <c r="B449" s="12" t="s">
        <v>443</v>
      </c>
      <c r="C449" s="12" t="str">
        <f t="shared" si="15"/>
        <v>140102</v>
      </c>
      <c r="D449" s="12" t="str">
        <f>"14.140102/2024.00173/BC.I."</f>
        <v>14.140102/2024.00173/BC.I.</v>
      </c>
      <c r="E449" s="12" t="str">
        <f>"201080034200"</f>
        <v>201080034200</v>
      </c>
      <c r="F449" s="12" t="str">
        <f t="shared" si="16"/>
        <v>COMPUTADORA/MICROCOMPUTADORA</v>
      </c>
      <c r="G449" s="12" t="s">
        <v>19</v>
      </c>
      <c r="H449" s="12" t="s">
        <v>20</v>
      </c>
      <c r="I449" s="12">
        <v>1</v>
      </c>
      <c r="J449" s="12" t="s">
        <v>21</v>
      </c>
      <c r="K449" s="12" t="s">
        <v>22</v>
      </c>
      <c r="L449" s="13">
        <v>35</v>
      </c>
    </row>
    <row r="450" spans="1:12" s="10" customFormat="1" ht="18" x14ac:dyDescent="0.25">
      <c r="A450" s="11">
        <v>446</v>
      </c>
      <c r="B450" s="12" t="s">
        <v>443</v>
      </c>
      <c r="C450" s="12" t="str">
        <f t="shared" si="15"/>
        <v>140102</v>
      </c>
      <c r="D450" s="12" t="str">
        <f>"14.140102/2024.00174/BC.I."</f>
        <v>14.140102/2024.00174/BC.I.</v>
      </c>
      <c r="E450" s="12" t="str">
        <f>"201080034284"</f>
        <v>201080034284</v>
      </c>
      <c r="F450" s="12" t="str">
        <f t="shared" si="16"/>
        <v>COMPUTADORA/MICROCOMPUTADORA</v>
      </c>
      <c r="G450" s="12" t="s">
        <v>19</v>
      </c>
      <c r="H450" s="12" t="s">
        <v>20</v>
      </c>
      <c r="I450" s="12">
        <v>1</v>
      </c>
      <c r="J450" s="12" t="s">
        <v>21</v>
      </c>
      <c r="K450" s="12" t="s">
        <v>22</v>
      </c>
      <c r="L450" s="13">
        <v>35</v>
      </c>
    </row>
    <row r="451" spans="1:12" s="10" customFormat="1" ht="18" x14ac:dyDescent="0.25">
      <c r="A451" s="11">
        <v>447</v>
      </c>
      <c r="B451" s="12" t="s">
        <v>443</v>
      </c>
      <c r="C451" s="12" t="str">
        <f t="shared" si="15"/>
        <v>140102</v>
      </c>
      <c r="D451" s="12" t="str">
        <f>"14.140102/2024.00185/BC.I."</f>
        <v>14.140102/2024.00185/BC.I.</v>
      </c>
      <c r="E451" s="12" t="str">
        <f>"201080060381"</f>
        <v>201080060381</v>
      </c>
      <c r="F451" s="12" t="str">
        <f t="shared" si="16"/>
        <v>COMPUTADORA/MICROCOMPUTADORA</v>
      </c>
      <c r="G451" s="12" t="s">
        <v>19</v>
      </c>
      <c r="H451" s="12" t="s">
        <v>20</v>
      </c>
      <c r="I451" s="12">
        <v>1</v>
      </c>
      <c r="J451" s="12" t="s">
        <v>21</v>
      </c>
      <c r="K451" s="12" t="s">
        <v>22</v>
      </c>
      <c r="L451" s="13">
        <v>35</v>
      </c>
    </row>
    <row r="452" spans="1:12" s="10" customFormat="1" ht="18" x14ac:dyDescent="0.25">
      <c r="A452" s="11">
        <v>448</v>
      </c>
      <c r="B452" s="12" t="s">
        <v>443</v>
      </c>
      <c r="C452" s="12" t="str">
        <f t="shared" si="15"/>
        <v>140102</v>
      </c>
      <c r="D452" s="12" t="str">
        <f>"14.140102/2024.00187/BC.I."</f>
        <v>14.140102/2024.00187/BC.I.</v>
      </c>
      <c r="E452" s="12" t="str">
        <f>"201080075744"</f>
        <v>201080075744</v>
      </c>
      <c r="F452" s="12" t="str">
        <f t="shared" si="16"/>
        <v>COMPUTADORA/MICROCOMPUTADORA</v>
      </c>
      <c r="G452" s="12" t="s">
        <v>19</v>
      </c>
      <c r="H452" s="12" t="s">
        <v>20</v>
      </c>
      <c r="I452" s="12">
        <v>1</v>
      </c>
      <c r="J452" s="12" t="s">
        <v>21</v>
      </c>
      <c r="K452" s="12" t="s">
        <v>22</v>
      </c>
      <c r="L452" s="13">
        <v>35</v>
      </c>
    </row>
    <row r="453" spans="1:12" s="10" customFormat="1" ht="18" x14ac:dyDescent="0.25">
      <c r="A453" s="11">
        <v>449</v>
      </c>
      <c r="B453" s="12" t="s">
        <v>443</v>
      </c>
      <c r="C453" s="12" t="str">
        <f t="shared" si="15"/>
        <v>140102</v>
      </c>
      <c r="D453" s="12" t="str">
        <f>"14.140102/2024.00177/BC.I."</f>
        <v>14.140102/2024.00177/BC.I.</v>
      </c>
      <c r="E453" s="12" t="str">
        <f>"201080076018"</f>
        <v>201080076018</v>
      </c>
      <c r="F453" s="12" t="str">
        <f t="shared" si="16"/>
        <v>COMPUTADORA/MICROCOMPUTADORA</v>
      </c>
      <c r="G453" s="12" t="s">
        <v>19</v>
      </c>
      <c r="H453" s="12" t="s">
        <v>20</v>
      </c>
      <c r="I453" s="12">
        <v>1</v>
      </c>
      <c r="J453" s="12" t="s">
        <v>21</v>
      </c>
      <c r="K453" s="12" t="s">
        <v>22</v>
      </c>
      <c r="L453" s="13">
        <v>35</v>
      </c>
    </row>
    <row r="454" spans="1:12" s="10" customFormat="1" ht="18" x14ac:dyDescent="0.25">
      <c r="A454" s="11">
        <v>450</v>
      </c>
      <c r="B454" s="12" t="s">
        <v>443</v>
      </c>
      <c r="C454" s="12" t="str">
        <f t="shared" si="15"/>
        <v>140102</v>
      </c>
      <c r="D454" s="12" t="str">
        <f>"14.140102/2024.00164/BC.I."</f>
        <v>14.140102/2024.00164/BC.I.</v>
      </c>
      <c r="E454" s="12" t="str">
        <f>"201180013037"</f>
        <v>201180013037</v>
      </c>
      <c r="F454" s="12" t="str">
        <f t="shared" si="16"/>
        <v>COMPUTADORA/MICROCOMPUTADORA</v>
      </c>
      <c r="G454" s="12" t="s">
        <v>19</v>
      </c>
      <c r="H454" s="12" t="s">
        <v>20</v>
      </c>
      <c r="I454" s="12">
        <v>1</v>
      </c>
      <c r="J454" s="12" t="s">
        <v>21</v>
      </c>
      <c r="K454" s="12" t="s">
        <v>22</v>
      </c>
      <c r="L454" s="13">
        <v>35</v>
      </c>
    </row>
    <row r="455" spans="1:12" s="10" customFormat="1" ht="18" x14ac:dyDescent="0.25">
      <c r="A455" s="11">
        <v>451</v>
      </c>
      <c r="B455" s="12" t="s">
        <v>443</v>
      </c>
      <c r="C455" s="12" t="str">
        <f t="shared" si="15"/>
        <v>140102</v>
      </c>
      <c r="D455" s="12" t="str">
        <f>"14.140102/2024.00189/BC.I."</f>
        <v>14.140102/2024.00189/BC.I.</v>
      </c>
      <c r="E455" s="12" t="str">
        <f>"201180015058"</f>
        <v>201180015058</v>
      </c>
      <c r="F455" s="12" t="str">
        <f t="shared" si="16"/>
        <v>COMPUTADORA/MICROCOMPUTADORA</v>
      </c>
      <c r="G455" s="12" t="s">
        <v>19</v>
      </c>
      <c r="H455" s="12" t="s">
        <v>20</v>
      </c>
      <c r="I455" s="12">
        <v>1</v>
      </c>
      <c r="J455" s="12" t="s">
        <v>21</v>
      </c>
      <c r="K455" s="12" t="s">
        <v>22</v>
      </c>
      <c r="L455" s="13">
        <v>35</v>
      </c>
    </row>
    <row r="456" spans="1:12" s="10" customFormat="1" ht="18" x14ac:dyDescent="0.25">
      <c r="A456" s="11">
        <v>452</v>
      </c>
      <c r="B456" s="12" t="s">
        <v>443</v>
      </c>
      <c r="C456" s="12" t="str">
        <f t="shared" si="15"/>
        <v>140102</v>
      </c>
      <c r="D456" s="12" t="str">
        <f>"14.140102/2024.00154/BC.O."</f>
        <v>14.140102/2024.00154/BC.O.</v>
      </c>
      <c r="E456" s="12" t="str">
        <f>"1994401591"</f>
        <v>1994401591</v>
      </c>
      <c r="F456" s="12" t="str">
        <f>"MESA/PARA IMPRESORA DE COMPUTO"</f>
        <v>MESA/PARA IMPRESORA DE COMPUTO</v>
      </c>
      <c r="G456" s="12" t="s">
        <v>19</v>
      </c>
      <c r="H456" s="12" t="s">
        <v>20</v>
      </c>
      <c r="I456" s="12">
        <v>1</v>
      </c>
      <c r="J456" s="12" t="s">
        <v>21</v>
      </c>
      <c r="K456" s="12" t="s">
        <v>22</v>
      </c>
      <c r="L456" s="13">
        <v>25</v>
      </c>
    </row>
    <row r="457" spans="1:12" s="10" customFormat="1" ht="18" x14ac:dyDescent="0.25">
      <c r="A457" s="11">
        <v>453</v>
      </c>
      <c r="B457" s="12" t="s">
        <v>443</v>
      </c>
      <c r="C457" s="12" t="str">
        <f t="shared" si="15"/>
        <v>140102</v>
      </c>
      <c r="D457" s="12" t="str">
        <f>"14.140102/2024.00159/BC.O."</f>
        <v>14.140102/2024.00159/BC.O.</v>
      </c>
      <c r="E457" s="12" t="str">
        <f>"2001994296"</f>
        <v>2001994296</v>
      </c>
      <c r="F457" s="12" t="str">
        <f>"CARRO/CAMILLA"</f>
        <v>CARRO/CAMILLA</v>
      </c>
      <c r="G457" s="12" t="s">
        <v>19</v>
      </c>
      <c r="H457" s="12" t="s">
        <v>20</v>
      </c>
      <c r="I457" s="12">
        <v>1</v>
      </c>
      <c r="J457" s="12" t="s">
        <v>21</v>
      </c>
      <c r="K457" s="12" t="s">
        <v>22</v>
      </c>
      <c r="L457" s="13">
        <v>100</v>
      </c>
    </row>
    <row r="458" spans="1:12" s="10" customFormat="1" ht="18" x14ac:dyDescent="0.25">
      <c r="A458" s="11">
        <v>454</v>
      </c>
      <c r="B458" s="12" t="s">
        <v>443</v>
      </c>
      <c r="C458" s="12" t="str">
        <f t="shared" si="15"/>
        <v>140102</v>
      </c>
      <c r="D458" s="12" t="str">
        <f>"14.140102/2024.00161/BC.O."</f>
        <v>14.140102/2024.00161/BC.O.</v>
      </c>
      <c r="E458" s="12" t="str">
        <f>"200400047958"</f>
        <v>200400047958</v>
      </c>
      <c r="F458" s="12" t="str">
        <f>"ESCRITORIO/PEDESTAL DERECHO/LATERAL IZQUIERDO"</f>
        <v>ESCRITORIO/PEDESTAL DERECHO/LATERAL IZQUIERDO</v>
      </c>
      <c r="G458" s="12" t="s">
        <v>19</v>
      </c>
      <c r="H458" s="12" t="s">
        <v>20</v>
      </c>
      <c r="I458" s="12">
        <v>1</v>
      </c>
      <c r="J458" s="12" t="s">
        <v>21</v>
      </c>
      <c r="K458" s="12" t="s">
        <v>22</v>
      </c>
      <c r="L458" s="13">
        <v>50</v>
      </c>
    </row>
    <row r="459" spans="1:12" s="10" customFormat="1" ht="18" x14ac:dyDescent="0.25">
      <c r="A459" s="11">
        <v>455</v>
      </c>
      <c r="B459" s="12" t="s">
        <v>443</v>
      </c>
      <c r="C459" s="12" t="str">
        <f t="shared" si="15"/>
        <v>140102</v>
      </c>
      <c r="D459" s="12" t="str">
        <f>"14.140102/2024.00162/BC.O."</f>
        <v>14.140102/2024.00162/BC.O.</v>
      </c>
      <c r="E459" s="12" t="str">
        <f>"200980003453"</f>
        <v>200980003453</v>
      </c>
      <c r="F459" s="12" t="str">
        <f>"MESA/DE MADERA RECTANGULAR P/JUNTAS"</f>
        <v>MESA/DE MADERA RECTANGULAR P/JUNTAS</v>
      </c>
      <c r="G459" s="12" t="s">
        <v>19</v>
      </c>
      <c r="H459" s="12" t="s">
        <v>20</v>
      </c>
      <c r="I459" s="12">
        <v>1</v>
      </c>
      <c r="J459" s="12" t="s">
        <v>21</v>
      </c>
      <c r="K459" s="12" t="s">
        <v>22</v>
      </c>
      <c r="L459" s="13">
        <v>50</v>
      </c>
    </row>
    <row r="460" spans="1:12" s="10" customFormat="1" ht="18" x14ac:dyDescent="0.25">
      <c r="A460" s="11">
        <v>456</v>
      </c>
      <c r="B460" s="12" t="s">
        <v>443</v>
      </c>
      <c r="C460" s="12" t="str">
        <f t="shared" si="15"/>
        <v>140102</v>
      </c>
      <c r="D460" s="12" t="str">
        <f>"14.140102/2024.00157/BC.O."</f>
        <v>14.140102/2024.00157/BC.O.</v>
      </c>
      <c r="E460" s="12" t="str">
        <f>"200980003738"</f>
        <v>200980003738</v>
      </c>
      <c r="F460" s="12" t="str">
        <f>"CAMA/RADIOTRANSPARENTE (CAMILLA)"</f>
        <v>CAMA/RADIOTRANSPARENTE (CAMILLA)</v>
      </c>
      <c r="G460" s="12" t="s">
        <v>19</v>
      </c>
      <c r="H460" s="12" t="s">
        <v>20</v>
      </c>
      <c r="I460" s="12">
        <v>1</v>
      </c>
      <c r="J460" s="12" t="s">
        <v>21</v>
      </c>
      <c r="K460" s="12" t="s">
        <v>22</v>
      </c>
      <c r="L460" s="13">
        <v>150</v>
      </c>
    </row>
    <row r="461" spans="1:12" s="10" customFormat="1" ht="27" x14ac:dyDescent="0.25">
      <c r="A461" s="11">
        <v>457</v>
      </c>
      <c r="B461" s="12" t="s">
        <v>443</v>
      </c>
      <c r="C461" s="12" t="str">
        <f t="shared" si="15"/>
        <v>140102</v>
      </c>
      <c r="D461" s="12" t="str">
        <f>"14.140102/2024.00155/BC.O."</f>
        <v>14.140102/2024.00155/BC.O.</v>
      </c>
      <c r="E461" s="12" t="str">
        <f>"200980007382"</f>
        <v>200980007382</v>
      </c>
      <c r="F461" s="12" t="str">
        <f>"ELECTROCARDIOGRAFO/PARA TRAZOS ELECTROCARDIOGRAFIC"</f>
        <v>ELECTROCARDIOGRAFO/PARA TRAZOS ELECTROCARDIOGRAFIC</v>
      </c>
      <c r="G461" s="12" t="s">
        <v>19</v>
      </c>
      <c r="H461" s="12" t="s">
        <v>20</v>
      </c>
      <c r="I461" s="12">
        <v>1</v>
      </c>
      <c r="J461" s="12" t="s">
        <v>21</v>
      </c>
      <c r="K461" s="12" t="s">
        <v>22</v>
      </c>
      <c r="L461" s="13">
        <v>250</v>
      </c>
    </row>
    <row r="462" spans="1:12" s="10" customFormat="1" ht="18" x14ac:dyDescent="0.25">
      <c r="A462" s="11">
        <v>458</v>
      </c>
      <c r="B462" s="12" t="s">
        <v>443</v>
      </c>
      <c r="C462" s="12" t="str">
        <f t="shared" si="15"/>
        <v>140102</v>
      </c>
      <c r="D462" s="12" t="str">
        <f>"14.140102/2024.00158/BC.O."</f>
        <v>14.140102/2024.00158/BC.O.</v>
      </c>
      <c r="E462" s="12" t="str">
        <f>"200980014729"</f>
        <v>200980014729</v>
      </c>
      <c r="F462" s="12" t="str">
        <f>"SISTEMA/DE MONITOREO"</f>
        <v>SISTEMA/DE MONITOREO</v>
      </c>
      <c r="G462" s="12" t="s">
        <v>19</v>
      </c>
      <c r="H462" s="12" t="s">
        <v>20</v>
      </c>
      <c r="I462" s="12">
        <v>1</v>
      </c>
      <c r="J462" s="12" t="s">
        <v>21</v>
      </c>
      <c r="K462" s="12" t="s">
        <v>22</v>
      </c>
      <c r="L462" s="13">
        <v>150</v>
      </c>
    </row>
    <row r="463" spans="1:12" s="10" customFormat="1" ht="18" x14ac:dyDescent="0.25">
      <c r="A463" s="11">
        <v>459</v>
      </c>
      <c r="B463" s="12" t="s">
        <v>443</v>
      </c>
      <c r="C463" s="12" t="str">
        <f t="shared" si="15"/>
        <v>140102</v>
      </c>
      <c r="D463" s="12" t="str">
        <f>"14.140102/2024.00156/BC.O."</f>
        <v>14.140102/2024.00156/BC.O.</v>
      </c>
      <c r="E463" s="12" t="str">
        <f>"201100014994"</f>
        <v>201100014994</v>
      </c>
      <c r="F463" s="12" t="str">
        <f>"CAMA/CLINICA DE POSICIONES"</f>
        <v>CAMA/CLINICA DE POSICIONES</v>
      </c>
      <c r="G463" s="12" t="s">
        <v>19</v>
      </c>
      <c r="H463" s="12" t="s">
        <v>20</v>
      </c>
      <c r="I463" s="12">
        <v>1</v>
      </c>
      <c r="J463" s="12" t="s">
        <v>21</v>
      </c>
      <c r="K463" s="12" t="s">
        <v>22</v>
      </c>
      <c r="L463" s="13">
        <v>200</v>
      </c>
    </row>
    <row r="464" spans="1:12" s="10" customFormat="1" ht="18" x14ac:dyDescent="0.25">
      <c r="A464" s="11">
        <v>460</v>
      </c>
      <c r="B464" s="12" t="s">
        <v>443</v>
      </c>
      <c r="C464" s="12" t="str">
        <f t="shared" si="15"/>
        <v>140102</v>
      </c>
      <c r="D464" s="12" t="str">
        <f>"14.140102/2024.00160/BC.O."</f>
        <v>14.140102/2024.00160/BC.O.</v>
      </c>
      <c r="E464" s="12" t="str">
        <f>"201880022965"</f>
        <v>201880022965</v>
      </c>
      <c r="F464" s="12" t="str">
        <f>"MOBILIARIO DE ADMINISTRACIÓN"</f>
        <v>MOBILIARIO DE ADMINISTRACIÓN</v>
      </c>
      <c r="G464" s="12" t="s">
        <v>19</v>
      </c>
      <c r="H464" s="12" t="s">
        <v>20</v>
      </c>
      <c r="I464" s="12">
        <v>1</v>
      </c>
      <c r="J464" s="12" t="s">
        <v>21</v>
      </c>
      <c r="K464" s="12" t="s">
        <v>22</v>
      </c>
      <c r="L464" s="13">
        <v>100</v>
      </c>
    </row>
    <row r="465" spans="1:12" s="10" customFormat="1" ht="18" x14ac:dyDescent="0.25">
      <c r="A465" s="11">
        <v>461</v>
      </c>
      <c r="B465" s="12" t="s">
        <v>444</v>
      </c>
      <c r="C465" s="12" t="str">
        <f t="shared" ref="C465:C492" si="17">"149103"</f>
        <v>149103</v>
      </c>
      <c r="D465" s="12" t="str">
        <f>"14.149103/2024.00011/BC.I."</f>
        <v>14.149103/2024.00011/BC.I.</v>
      </c>
      <c r="E465" s="12" t="str">
        <f>"200880050843"</f>
        <v>200880050843</v>
      </c>
      <c r="F465" s="12" t="str">
        <f t="shared" ref="F465:F492" si="18">"COMPUTADORA/MICROCOMPUTADORA"</f>
        <v>COMPUTADORA/MICROCOMPUTADORA</v>
      </c>
      <c r="G465" s="12" t="s">
        <v>19</v>
      </c>
      <c r="H465" s="12" t="s">
        <v>20</v>
      </c>
      <c r="I465" s="12">
        <v>1</v>
      </c>
      <c r="J465" s="12" t="s">
        <v>21</v>
      </c>
      <c r="K465" s="12" t="s">
        <v>22</v>
      </c>
      <c r="L465" s="13">
        <v>35</v>
      </c>
    </row>
    <row r="466" spans="1:12" s="10" customFormat="1" ht="18" x14ac:dyDescent="0.25">
      <c r="A466" s="11">
        <v>462</v>
      </c>
      <c r="B466" s="12" t="s">
        <v>444</v>
      </c>
      <c r="C466" s="12" t="str">
        <f t="shared" si="17"/>
        <v>149103</v>
      </c>
      <c r="D466" s="12" t="str">
        <f>"14.149103/2024.00023/BC.I."</f>
        <v>14.149103/2024.00023/BC.I.</v>
      </c>
      <c r="E466" s="12" t="str">
        <f>"200880051170"</f>
        <v>200880051170</v>
      </c>
      <c r="F466" s="12" t="str">
        <f t="shared" si="18"/>
        <v>COMPUTADORA/MICROCOMPUTADORA</v>
      </c>
      <c r="G466" s="12" t="s">
        <v>19</v>
      </c>
      <c r="H466" s="12" t="s">
        <v>20</v>
      </c>
      <c r="I466" s="12">
        <v>1</v>
      </c>
      <c r="J466" s="12" t="s">
        <v>21</v>
      </c>
      <c r="K466" s="12" t="s">
        <v>22</v>
      </c>
      <c r="L466" s="13">
        <v>35</v>
      </c>
    </row>
    <row r="467" spans="1:12" s="10" customFormat="1" ht="18" x14ac:dyDescent="0.25">
      <c r="A467" s="11">
        <v>463</v>
      </c>
      <c r="B467" s="12" t="s">
        <v>444</v>
      </c>
      <c r="C467" s="12" t="str">
        <f t="shared" si="17"/>
        <v>149103</v>
      </c>
      <c r="D467" s="12" t="str">
        <f>"14.149103/2024.00012/BC.I."</f>
        <v>14.149103/2024.00012/BC.I.</v>
      </c>
      <c r="E467" s="12" t="str">
        <f>"200880051171"</f>
        <v>200880051171</v>
      </c>
      <c r="F467" s="12" t="str">
        <f t="shared" si="18"/>
        <v>COMPUTADORA/MICROCOMPUTADORA</v>
      </c>
      <c r="G467" s="12" t="s">
        <v>19</v>
      </c>
      <c r="H467" s="12" t="s">
        <v>20</v>
      </c>
      <c r="I467" s="12">
        <v>1</v>
      </c>
      <c r="J467" s="12" t="s">
        <v>21</v>
      </c>
      <c r="K467" s="12" t="s">
        <v>22</v>
      </c>
      <c r="L467" s="13">
        <v>35</v>
      </c>
    </row>
    <row r="468" spans="1:12" s="10" customFormat="1" ht="18" x14ac:dyDescent="0.25">
      <c r="A468" s="11">
        <v>464</v>
      </c>
      <c r="B468" s="12" t="s">
        <v>444</v>
      </c>
      <c r="C468" s="12" t="str">
        <f t="shared" si="17"/>
        <v>149103</v>
      </c>
      <c r="D468" s="12" t="str">
        <f>"14.149103/2024.00017/BC.I."</f>
        <v>14.149103/2024.00017/BC.I.</v>
      </c>
      <c r="E468" s="12" t="str">
        <f>"200880051207"</f>
        <v>200880051207</v>
      </c>
      <c r="F468" s="12" t="str">
        <f t="shared" si="18"/>
        <v>COMPUTADORA/MICROCOMPUTADORA</v>
      </c>
      <c r="G468" s="12" t="s">
        <v>19</v>
      </c>
      <c r="H468" s="12" t="s">
        <v>20</v>
      </c>
      <c r="I468" s="12">
        <v>1</v>
      </c>
      <c r="J468" s="12" t="s">
        <v>21</v>
      </c>
      <c r="K468" s="12" t="s">
        <v>22</v>
      </c>
      <c r="L468" s="13">
        <v>35</v>
      </c>
    </row>
    <row r="469" spans="1:12" s="10" customFormat="1" ht="18" x14ac:dyDescent="0.25">
      <c r="A469" s="11">
        <v>465</v>
      </c>
      <c r="B469" s="12" t="s">
        <v>444</v>
      </c>
      <c r="C469" s="12" t="str">
        <f t="shared" si="17"/>
        <v>149103</v>
      </c>
      <c r="D469" s="12" t="str">
        <f>"14.149103/2024.00024/BC.I."</f>
        <v>14.149103/2024.00024/BC.I.</v>
      </c>
      <c r="E469" s="12" t="str">
        <f>"200880051208"</f>
        <v>200880051208</v>
      </c>
      <c r="F469" s="12" t="str">
        <f t="shared" si="18"/>
        <v>COMPUTADORA/MICROCOMPUTADORA</v>
      </c>
      <c r="G469" s="12" t="s">
        <v>19</v>
      </c>
      <c r="H469" s="12" t="s">
        <v>20</v>
      </c>
      <c r="I469" s="12">
        <v>1</v>
      </c>
      <c r="J469" s="12" t="s">
        <v>21</v>
      </c>
      <c r="K469" s="12" t="s">
        <v>22</v>
      </c>
      <c r="L469" s="13">
        <v>35</v>
      </c>
    </row>
    <row r="470" spans="1:12" s="10" customFormat="1" ht="18" x14ac:dyDescent="0.25">
      <c r="A470" s="11">
        <v>466</v>
      </c>
      <c r="B470" s="12" t="s">
        <v>444</v>
      </c>
      <c r="C470" s="12" t="str">
        <f t="shared" si="17"/>
        <v>149103</v>
      </c>
      <c r="D470" s="12" t="str">
        <f>"14.149103/2024.00013/BC.I."</f>
        <v>14.149103/2024.00013/BC.I.</v>
      </c>
      <c r="E470" s="12" t="str">
        <f>"200880051325"</f>
        <v>200880051325</v>
      </c>
      <c r="F470" s="12" t="str">
        <f t="shared" si="18"/>
        <v>COMPUTADORA/MICROCOMPUTADORA</v>
      </c>
      <c r="G470" s="12" t="s">
        <v>19</v>
      </c>
      <c r="H470" s="12" t="s">
        <v>20</v>
      </c>
      <c r="I470" s="12">
        <v>1</v>
      </c>
      <c r="J470" s="12" t="s">
        <v>21</v>
      </c>
      <c r="K470" s="12" t="s">
        <v>22</v>
      </c>
      <c r="L470" s="13">
        <v>35</v>
      </c>
    </row>
    <row r="471" spans="1:12" s="10" customFormat="1" ht="18" x14ac:dyDescent="0.25">
      <c r="A471" s="11">
        <v>467</v>
      </c>
      <c r="B471" s="12" t="s">
        <v>444</v>
      </c>
      <c r="C471" s="12" t="str">
        <f t="shared" si="17"/>
        <v>149103</v>
      </c>
      <c r="D471" s="12" t="str">
        <f>"14.149103/2024.00025/BC.I."</f>
        <v>14.149103/2024.00025/BC.I.</v>
      </c>
      <c r="E471" s="12" t="str">
        <f>"200880051327"</f>
        <v>200880051327</v>
      </c>
      <c r="F471" s="12" t="str">
        <f t="shared" si="18"/>
        <v>COMPUTADORA/MICROCOMPUTADORA</v>
      </c>
      <c r="G471" s="12" t="s">
        <v>19</v>
      </c>
      <c r="H471" s="12" t="s">
        <v>20</v>
      </c>
      <c r="I471" s="12">
        <v>1</v>
      </c>
      <c r="J471" s="12" t="s">
        <v>21</v>
      </c>
      <c r="K471" s="12" t="s">
        <v>22</v>
      </c>
      <c r="L471" s="13">
        <v>35</v>
      </c>
    </row>
    <row r="472" spans="1:12" s="10" customFormat="1" ht="18" x14ac:dyDescent="0.25">
      <c r="A472" s="11">
        <v>468</v>
      </c>
      <c r="B472" s="12" t="s">
        <v>444</v>
      </c>
      <c r="C472" s="12" t="str">
        <f t="shared" si="17"/>
        <v>149103</v>
      </c>
      <c r="D472" s="12" t="str">
        <f>"14.149103/2024.00018/BC.I."</f>
        <v>14.149103/2024.00018/BC.I.</v>
      </c>
      <c r="E472" s="12" t="str">
        <f>"200880051359"</f>
        <v>200880051359</v>
      </c>
      <c r="F472" s="12" t="str">
        <f t="shared" si="18"/>
        <v>COMPUTADORA/MICROCOMPUTADORA</v>
      </c>
      <c r="G472" s="12" t="s">
        <v>19</v>
      </c>
      <c r="H472" s="12" t="s">
        <v>20</v>
      </c>
      <c r="I472" s="12">
        <v>1</v>
      </c>
      <c r="J472" s="12" t="s">
        <v>21</v>
      </c>
      <c r="K472" s="12" t="s">
        <v>22</v>
      </c>
      <c r="L472" s="13">
        <v>35</v>
      </c>
    </row>
    <row r="473" spans="1:12" s="10" customFormat="1" ht="18" x14ac:dyDescent="0.25">
      <c r="A473" s="11">
        <v>469</v>
      </c>
      <c r="B473" s="12" t="s">
        <v>444</v>
      </c>
      <c r="C473" s="12" t="str">
        <f t="shared" si="17"/>
        <v>149103</v>
      </c>
      <c r="D473" s="12" t="str">
        <f>"14.149103/2024.00001/BC.I."</f>
        <v>14.149103/2024.00001/BC.I.</v>
      </c>
      <c r="E473" s="12" t="str">
        <f>"200880051433"</f>
        <v>200880051433</v>
      </c>
      <c r="F473" s="12" t="str">
        <f t="shared" si="18"/>
        <v>COMPUTADORA/MICROCOMPUTADORA</v>
      </c>
      <c r="G473" s="12" t="s">
        <v>19</v>
      </c>
      <c r="H473" s="12" t="s">
        <v>20</v>
      </c>
      <c r="I473" s="12">
        <v>1</v>
      </c>
      <c r="J473" s="12" t="s">
        <v>21</v>
      </c>
      <c r="K473" s="12" t="s">
        <v>22</v>
      </c>
      <c r="L473" s="13">
        <v>35</v>
      </c>
    </row>
    <row r="474" spans="1:12" s="10" customFormat="1" ht="18" x14ac:dyDescent="0.25">
      <c r="A474" s="11">
        <v>470</v>
      </c>
      <c r="B474" s="12" t="s">
        <v>444</v>
      </c>
      <c r="C474" s="12" t="str">
        <f t="shared" si="17"/>
        <v>149103</v>
      </c>
      <c r="D474" s="12" t="str">
        <f>"14.149103/2024.00019/BC.I."</f>
        <v>14.149103/2024.00019/BC.I.</v>
      </c>
      <c r="E474" s="12" t="str">
        <f>"200880051437"</f>
        <v>200880051437</v>
      </c>
      <c r="F474" s="12" t="str">
        <f t="shared" si="18"/>
        <v>COMPUTADORA/MICROCOMPUTADORA</v>
      </c>
      <c r="G474" s="12" t="s">
        <v>19</v>
      </c>
      <c r="H474" s="12" t="s">
        <v>20</v>
      </c>
      <c r="I474" s="12">
        <v>1</v>
      </c>
      <c r="J474" s="12" t="s">
        <v>21</v>
      </c>
      <c r="K474" s="12" t="s">
        <v>22</v>
      </c>
      <c r="L474" s="13">
        <v>35</v>
      </c>
    </row>
    <row r="475" spans="1:12" s="10" customFormat="1" ht="18" x14ac:dyDescent="0.25">
      <c r="A475" s="11">
        <v>471</v>
      </c>
      <c r="B475" s="12" t="s">
        <v>444</v>
      </c>
      <c r="C475" s="12" t="str">
        <f t="shared" si="17"/>
        <v>149103</v>
      </c>
      <c r="D475" s="12" t="str">
        <f>"14.149103/2024.00003/BC.I."</f>
        <v>14.149103/2024.00003/BC.I.</v>
      </c>
      <c r="E475" s="12" t="str">
        <f>"200880051463"</f>
        <v>200880051463</v>
      </c>
      <c r="F475" s="12" t="str">
        <f t="shared" si="18"/>
        <v>COMPUTADORA/MICROCOMPUTADORA</v>
      </c>
      <c r="G475" s="12" t="s">
        <v>19</v>
      </c>
      <c r="H475" s="12" t="s">
        <v>20</v>
      </c>
      <c r="I475" s="12">
        <v>1</v>
      </c>
      <c r="J475" s="12" t="s">
        <v>21</v>
      </c>
      <c r="K475" s="12" t="s">
        <v>22</v>
      </c>
      <c r="L475" s="13">
        <v>35</v>
      </c>
    </row>
    <row r="476" spans="1:12" s="10" customFormat="1" ht="18" x14ac:dyDescent="0.25">
      <c r="A476" s="11">
        <v>472</v>
      </c>
      <c r="B476" s="12" t="s">
        <v>444</v>
      </c>
      <c r="C476" s="12" t="str">
        <f t="shared" si="17"/>
        <v>149103</v>
      </c>
      <c r="D476" s="12" t="str">
        <f>"14.149103/2024.00026/BC.I."</f>
        <v>14.149103/2024.00026/BC.I.</v>
      </c>
      <c r="E476" s="12" t="str">
        <f>"200880051492"</f>
        <v>200880051492</v>
      </c>
      <c r="F476" s="12" t="str">
        <f t="shared" si="18"/>
        <v>COMPUTADORA/MICROCOMPUTADORA</v>
      </c>
      <c r="G476" s="12" t="s">
        <v>19</v>
      </c>
      <c r="H476" s="12" t="s">
        <v>20</v>
      </c>
      <c r="I476" s="12">
        <v>1</v>
      </c>
      <c r="J476" s="12" t="s">
        <v>21</v>
      </c>
      <c r="K476" s="12" t="s">
        <v>22</v>
      </c>
      <c r="L476" s="13">
        <v>35</v>
      </c>
    </row>
    <row r="477" spans="1:12" s="10" customFormat="1" ht="18" x14ac:dyDescent="0.25">
      <c r="A477" s="11">
        <v>473</v>
      </c>
      <c r="B477" s="12" t="s">
        <v>444</v>
      </c>
      <c r="C477" s="12" t="str">
        <f t="shared" si="17"/>
        <v>149103</v>
      </c>
      <c r="D477" s="12" t="str">
        <f>"14.149103/2024.00004/BC.I."</f>
        <v>14.149103/2024.00004/BC.I.</v>
      </c>
      <c r="E477" s="12" t="str">
        <f>"200880051501"</f>
        <v>200880051501</v>
      </c>
      <c r="F477" s="12" t="str">
        <f t="shared" si="18"/>
        <v>COMPUTADORA/MICROCOMPUTADORA</v>
      </c>
      <c r="G477" s="12" t="s">
        <v>19</v>
      </c>
      <c r="H477" s="12" t="s">
        <v>20</v>
      </c>
      <c r="I477" s="12">
        <v>1</v>
      </c>
      <c r="J477" s="12" t="s">
        <v>21</v>
      </c>
      <c r="K477" s="12" t="s">
        <v>22</v>
      </c>
      <c r="L477" s="13">
        <v>35</v>
      </c>
    </row>
    <row r="478" spans="1:12" s="10" customFormat="1" ht="18" x14ac:dyDescent="0.25">
      <c r="A478" s="11">
        <v>474</v>
      </c>
      <c r="B478" s="12" t="s">
        <v>444</v>
      </c>
      <c r="C478" s="12" t="str">
        <f t="shared" si="17"/>
        <v>149103</v>
      </c>
      <c r="D478" s="12" t="str">
        <f>"14.149103/2024.00005/BC.I."</f>
        <v>14.149103/2024.00005/BC.I.</v>
      </c>
      <c r="E478" s="12" t="str">
        <f>"200880051552"</f>
        <v>200880051552</v>
      </c>
      <c r="F478" s="12" t="str">
        <f t="shared" si="18"/>
        <v>COMPUTADORA/MICROCOMPUTADORA</v>
      </c>
      <c r="G478" s="12" t="s">
        <v>19</v>
      </c>
      <c r="H478" s="12" t="s">
        <v>20</v>
      </c>
      <c r="I478" s="12">
        <v>1</v>
      </c>
      <c r="J478" s="12" t="s">
        <v>21</v>
      </c>
      <c r="K478" s="12" t="s">
        <v>22</v>
      </c>
      <c r="L478" s="13">
        <v>35</v>
      </c>
    </row>
    <row r="479" spans="1:12" s="10" customFormat="1" ht="18" x14ac:dyDescent="0.25">
      <c r="A479" s="11">
        <v>475</v>
      </c>
      <c r="B479" s="12" t="s">
        <v>444</v>
      </c>
      <c r="C479" s="12" t="str">
        <f t="shared" si="17"/>
        <v>149103</v>
      </c>
      <c r="D479" s="12" t="str">
        <f>"14.149103/2024.00006/BC.I."</f>
        <v>14.149103/2024.00006/BC.I.</v>
      </c>
      <c r="E479" s="12" t="str">
        <f>"200880051615"</f>
        <v>200880051615</v>
      </c>
      <c r="F479" s="12" t="str">
        <f t="shared" si="18"/>
        <v>COMPUTADORA/MICROCOMPUTADORA</v>
      </c>
      <c r="G479" s="12" t="s">
        <v>19</v>
      </c>
      <c r="H479" s="12" t="s">
        <v>20</v>
      </c>
      <c r="I479" s="12">
        <v>1</v>
      </c>
      <c r="J479" s="12" t="s">
        <v>21</v>
      </c>
      <c r="K479" s="12" t="s">
        <v>22</v>
      </c>
      <c r="L479" s="13">
        <v>35</v>
      </c>
    </row>
    <row r="480" spans="1:12" s="10" customFormat="1" ht="18" x14ac:dyDescent="0.25">
      <c r="A480" s="11">
        <v>476</v>
      </c>
      <c r="B480" s="12" t="s">
        <v>444</v>
      </c>
      <c r="C480" s="12" t="str">
        <f t="shared" si="17"/>
        <v>149103</v>
      </c>
      <c r="D480" s="12" t="str">
        <f>"14.149103/2024.00020/BC.I."</f>
        <v>14.149103/2024.00020/BC.I.</v>
      </c>
      <c r="E480" s="12" t="str">
        <f>"200880051637"</f>
        <v>200880051637</v>
      </c>
      <c r="F480" s="12" t="str">
        <f t="shared" si="18"/>
        <v>COMPUTADORA/MICROCOMPUTADORA</v>
      </c>
      <c r="G480" s="12" t="s">
        <v>19</v>
      </c>
      <c r="H480" s="12" t="s">
        <v>20</v>
      </c>
      <c r="I480" s="12">
        <v>1</v>
      </c>
      <c r="J480" s="12" t="s">
        <v>21</v>
      </c>
      <c r="K480" s="12" t="s">
        <v>22</v>
      </c>
      <c r="L480" s="13">
        <v>35</v>
      </c>
    </row>
    <row r="481" spans="1:12" s="10" customFormat="1" ht="18" x14ac:dyDescent="0.25">
      <c r="A481" s="11">
        <v>477</v>
      </c>
      <c r="B481" s="12" t="s">
        <v>444</v>
      </c>
      <c r="C481" s="12" t="str">
        <f t="shared" si="17"/>
        <v>149103</v>
      </c>
      <c r="D481" s="12" t="str">
        <f>"14.149103/2024.00002/BC.I."</f>
        <v>14.149103/2024.00002/BC.I.</v>
      </c>
      <c r="E481" s="12" t="str">
        <f>"200880051667"</f>
        <v>200880051667</v>
      </c>
      <c r="F481" s="12" t="str">
        <f t="shared" si="18"/>
        <v>COMPUTADORA/MICROCOMPUTADORA</v>
      </c>
      <c r="G481" s="12" t="s">
        <v>19</v>
      </c>
      <c r="H481" s="12" t="s">
        <v>20</v>
      </c>
      <c r="I481" s="12">
        <v>1</v>
      </c>
      <c r="J481" s="12" t="s">
        <v>21</v>
      </c>
      <c r="K481" s="12" t="s">
        <v>22</v>
      </c>
      <c r="L481" s="13">
        <v>35</v>
      </c>
    </row>
    <row r="482" spans="1:12" s="10" customFormat="1" ht="18" x14ac:dyDescent="0.25">
      <c r="A482" s="11">
        <v>478</v>
      </c>
      <c r="B482" s="12" t="s">
        <v>444</v>
      </c>
      <c r="C482" s="12" t="str">
        <f t="shared" si="17"/>
        <v>149103</v>
      </c>
      <c r="D482" s="12" t="str">
        <f>"14.149103/2024.00014/BC.I."</f>
        <v>14.149103/2024.00014/BC.I.</v>
      </c>
      <c r="E482" s="12" t="str">
        <f>"200880051716"</f>
        <v>200880051716</v>
      </c>
      <c r="F482" s="12" t="str">
        <f t="shared" si="18"/>
        <v>COMPUTADORA/MICROCOMPUTADORA</v>
      </c>
      <c r="G482" s="12" t="s">
        <v>19</v>
      </c>
      <c r="H482" s="12" t="s">
        <v>20</v>
      </c>
      <c r="I482" s="12">
        <v>1</v>
      </c>
      <c r="J482" s="12" t="s">
        <v>21</v>
      </c>
      <c r="K482" s="12" t="s">
        <v>22</v>
      </c>
      <c r="L482" s="13">
        <v>35</v>
      </c>
    </row>
    <row r="483" spans="1:12" s="10" customFormat="1" ht="18" x14ac:dyDescent="0.25">
      <c r="A483" s="11">
        <v>479</v>
      </c>
      <c r="B483" s="12" t="s">
        <v>444</v>
      </c>
      <c r="C483" s="12" t="str">
        <f t="shared" si="17"/>
        <v>149103</v>
      </c>
      <c r="D483" s="12" t="str">
        <f>"14.149103/2024.00015/BC.I."</f>
        <v>14.149103/2024.00015/BC.I.</v>
      </c>
      <c r="E483" s="12" t="str">
        <f>"200880051721"</f>
        <v>200880051721</v>
      </c>
      <c r="F483" s="12" t="str">
        <f t="shared" si="18"/>
        <v>COMPUTADORA/MICROCOMPUTADORA</v>
      </c>
      <c r="G483" s="12" t="s">
        <v>19</v>
      </c>
      <c r="H483" s="12" t="s">
        <v>20</v>
      </c>
      <c r="I483" s="12">
        <v>1</v>
      </c>
      <c r="J483" s="12" t="s">
        <v>21</v>
      </c>
      <c r="K483" s="12" t="s">
        <v>22</v>
      </c>
      <c r="L483" s="13">
        <v>35</v>
      </c>
    </row>
    <row r="484" spans="1:12" s="10" customFormat="1" ht="18" x14ac:dyDescent="0.25">
      <c r="A484" s="11">
        <v>480</v>
      </c>
      <c r="B484" s="12" t="s">
        <v>444</v>
      </c>
      <c r="C484" s="12" t="str">
        <f t="shared" si="17"/>
        <v>149103</v>
      </c>
      <c r="D484" s="12" t="str">
        <f>"14.149103/2024.00027/BC.I."</f>
        <v>14.149103/2024.00027/BC.I.</v>
      </c>
      <c r="E484" s="12" t="str">
        <f>"200880051724"</f>
        <v>200880051724</v>
      </c>
      <c r="F484" s="12" t="str">
        <f t="shared" si="18"/>
        <v>COMPUTADORA/MICROCOMPUTADORA</v>
      </c>
      <c r="G484" s="12" t="s">
        <v>19</v>
      </c>
      <c r="H484" s="12" t="s">
        <v>20</v>
      </c>
      <c r="I484" s="12">
        <v>1</v>
      </c>
      <c r="J484" s="12" t="s">
        <v>21</v>
      </c>
      <c r="K484" s="12" t="s">
        <v>22</v>
      </c>
      <c r="L484" s="13">
        <v>35</v>
      </c>
    </row>
    <row r="485" spans="1:12" s="10" customFormat="1" ht="18" x14ac:dyDescent="0.25">
      <c r="A485" s="11">
        <v>481</v>
      </c>
      <c r="B485" s="12" t="s">
        <v>444</v>
      </c>
      <c r="C485" s="12" t="str">
        <f t="shared" si="17"/>
        <v>149103</v>
      </c>
      <c r="D485" s="12" t="str">
        <f>"14.149103/2024.00016/BC.I."</f>
        <v>14.149103/2024.00016/BC.I.</v>
      </c>
      <c r="E485" s="12" t="str">
        <f>"200880051728"</f>
        <v>200880051728</v>
      </c>
      <c r="F485" s="12" t="str">
        <f t="shared" si="18"/>
        <v>COMPUTADORA/MICROCOMPUTADORA</v>
      </c>
      <c r="G485" s="12" t="s">
        <v>19</v>
      </c>
      <c r="H485" s="12" t="s">
        <v>20</v>
      </c>
      <c r="I485" s="12">
        <v>1</v>
      </c>
      <c r="J485" s="12" t="s">
        <v>21</v>
      </c>
      <c r="K485" s="12" t="s">
        <v>22</v>
      </c>
      <c r="L485" s="13">
        <v>35</v>
      </c>
    </row>
    <row r="486" spans="1:12" s="10" customFormat="1" ht="18" x14ac:dyDescent="0.25">
      <c r="A486" s="11">
        <v>482</v>
      </c>
      <c r="B486" s="12" t="s">
        <v>444</v>
      </c>
      <c r="C486" s="12" t="str">
        <f t="shared" si="17"/>
        <v>149103</v>
      </c>
      <c r="D486" s="12" t="str">
        <f>"14.149103/2024.00021/BC.I."</f>
        <v>14.149103/2024.00021/BC.I.</v>
      </c>
      <c r="E486" s="12" t="str">
        <f>"200880051903"</f>
        <v>200880051903</v>
      </c>
      <c r="F486" s="12" t="str">
        <f t="shared" si="18"/>
        <v>COMPUTADORA/MICROCOMPUTADORA</v>
      </c>
      <c r="G486" s="12" t="s">
        <v>19</v>
      </c>
      <c r="H486" s="12" t="s">
        <v>20</v>
      </c>
      <c r="I486" s="12">
        <v>1</v>
      </c>
      <c r="J486" s="12" t="s">
        <v>21</v>
      </c>
      <c r="K486" s="12" t="s">
        <v>22</v>
      </c>
      <c r="L486" s="13">
        <v>35</v>
      </c>
    </row>
    <row r="487" spans="1:12" s="10" customFormat="1" ht="18" x14ac:dyDescent="0.25">
      <c r="A487" s="11">
        <v>483</v>
      </c>
      <c r="B487" s="12" t="s">
        <v>444</v>
      </c>
      <c r="C487" s="12" t="str">
        <f t="shared" si="17"/>
        <v>149103</v>
      </c>
      <c r="D487" s="12" t="str">
        <f>"14.149103/2024.00007/BC.I."</f>
        <v>14.149103/2024.00007/BC.I.</v>
      </c>
      <c r="E487" s="12" t="str">
        <f>"200880051945"</f>
        <v>200880051945</v>
      </c>
      <c r="F487" s="12" t="str">
        <f t="shared" si="18"/>
        <v>COMPUTADORA/MICROCOMPUTADORA</v>
      </c>
      <c r="G487" s="12" t="s">
        <v>19</v>
      </c>
      <c r="H487" s="12" t="s">
        <v>20</v>
      </c>
      <c r="I487" s="12">
        <v>1</v>
      </c>
      <c r="J487" s="12" t="s">
        <v>21</v>
      </c>
      <c r="K487" s="12" t="s">
        <v>22</v>
      </c>
      <c r="L487" s="13">
        <v>35</v>
      </c>
    </row>
    <row r="488" spans="1:12" s="10" customFormat="1" ht="18" x14ac:dyDescent="0.25">
      <c r="A488" s="11">
        <v>484</v>
      </c>
      <c r="B488" s="12" t="s">
        <v>444</v>
      </c>
      <c r="C488" s="12" t="str">
        <f t="shared" si="17"/>
        <v>149103</v>
      </c>
      <c r="D488" s="12" t="str">
        <f>"14.149103/2024.00029/BC.I."</f>
        <v>14.149103/2024.00029/BC.I.</v>
      </c>
      <c r="E488" s="12" t="str">
        <f>"200880051951"</f>
        <v>200880051951</v>
      </c>
      <c r="F488" s="12" t="str">
        <f t="shared" si="18"/>
        <v>COMPUTADORA/MICROCOMPUTADORA</v>
      </c>
      <c r="G488" s="12" t="s">
        <v>19</v>
      </c>
      <c r="H488" s="12" t="s">
        <v>20</v>
      </c>
      <c r="I488" s="12">
        <v>1</v>
      </c>
      <c r="J488" s="12" t="s">
        <v>21</v>
      </c>
      <c r="K488" s="12" t="s">
        <v>22</v>
      </c>
      <c r="L488" s="13">
        <v>35</v>
      </c>
    </row>
    <row r="489" spans="1:12" s="10" customFormat="1" ht="18" x14ac:dyDescent="0.25">
      <c r="A489" s="11">
        <v>485</v>
      </c>
      <c r="B489" s="12" t="s">
        <v>444</v>
      </c>
      <c r="C489" s="12" t="str">
        <f t="shared" si="17"/>
        <v>149103</v>
      </c>
      <c r="D489" s="12" t="str">
        <f>"14.149103/2024.00009/BC.I."</f>
        <v>14.149103/2024.00009/BC.I.</v>
      </c>
      <c r="E489" s="12" t="str">
        <f>"200880052073"</f>
        <v>200880052073</v>
      </c>
      <c r="F489" s="12" t="str">
        <f t="shared" si="18"/>
        <v>COMPUTADORA/MICROCOMPUTADORA</v>
      </c>
      <c r="G489" s="12" t="s">
        <v>19</v>
      </c>
      <c r="H489" s="12" t="s">
        <v>20</v>
      </c>
      <c r="I489" s="12">
        <v>1</v>
      </c>
      <c r="J489" s="12" t="s">
        <v>21</v>
      </c>
      <c r="K489" s="12" t="s">
        <v>22</v>
      </c>
      <c r="L489" s="13">
        <v>35</v>
      </c>
    </row>
    <row r="490" spans="1:12" s="10" customFormat="1" ht="18" x14ac:dyDescent="0.25">
      <c r="A490" s="11">
        <v>486</v>
      </c>
      <c r="B490" s="12" t="s">
        <v>444</v>
      </c>
      <c r="C490" s="12" t="str">
        <f t="shared" si="17"/>
        <v>149103</v>
      </c>
      <c r="D490" s="12" t="str">
        <f>"14.149103/2024.00010/BC.I."</f>
        <v>14.149103/2024.00010/BC.I.</v>
      </c>
      <c r="E490" s="12" t="str">
        <f>"200880052078"</f>
        <v>200880052078</v>
      </c>
      <c r="F490" s="12" t="str">
        <f t="shared" si="18"/>
        <v>COMPUTADORA/MICROCOMPUTADORA</v>
      </c>
      <c r="G490" s="12" t="s">
        <v>19</v>
      </c>
      <c r="H490" s="12" t="s">
        <v>20</v>
      </c>
      <c r="I490" s="12">
        <v>1</v>
      </c>
      <c r="J490" s="12" t="s">
        <v>21</v>
      </c>
      <c r="K490" s="12" t="s">
        <v>22</v>
      </c>
      <c r="L490" s="13">
        <v>35</v>
      </c>
    </row>
    <row r="491" spans="1:12" s="10" customFormat="1" ht="18" x14ac:dyDescent="0.25">
      <c r="A491" s="11">
        <v>487</v>
      </c>
      <c r="B491" s="12" t="s">
        <v>444</v>
      </c>
      <c r="C491" s="12" t="str">
        <f t="shared" si="17"/>
        <v>149103</v>
      </c>
      <c r="D491" s="12" t="str">
        <f>"14.149103/2024.00028/BC.I."</f>
        <v>14.149103/2024.00028/BC.I.</v>
      </c>
      <c r="E491" s="12" t="str">
        <f>"201080075871"</f>
        <v>201080075871</v>
      </c>
      <c r="F491" s="12" t="str">
        <f t="shared" si="18"/>
        <v>COMPUTADORA/MICROCOMPUTADORA</v>
      </c>
      <c r="G491" s="12" t="s">
        <v>19</v>
      </c>
      <c r="H491" s="12" t="s">
        <v>20</v>
      </c>
      <c r="I491" s="12">
        <v>1</v>
      </c>
      <c r="J491" s="12" t="s">
        <v>21</v>
      </c>
      <c r="K491" s="12" t="s">
        <v>22</v>
      </c>
      <c r="L491" s="13">
        <v>35</v>
      </c>
    </row>
    <row r="492" spans="1:12" s="10" customFormat="1" ht="18" x14ac:dyDescent="0.25">
      <c r="A492" s="11">
        <v>488</v>
      </c>
      <c r="B492" s="12" t="s">
        <v>444</v>
      </c>
      <c r="C492" s="12" t="str">
        <f t="shared" si="17"/>
        <v>149103</v>
      </c>
      <c r="D492" s="12" t="str">
        <f>"14.149103/2024.00022/BC.I."</f>
        <v>14.149103/2024.00022/BC.I.</v>
      </c>
      <c r="E492" s="12" t="str">
        <f>"201180018968"</f>
        <v>201180018968</v>
      </c>
      <c r="F492" s="12" t="str">
        <f t="shared" si="18"/>
        <v>COMPUTADORA/MICROCOMPUTADORA</v>
      </c>
      <c r="G492" s="12" t="s">
        <v>19</v>
      </c>
      <c r="H492" s="12" t="s">
        <v>20</v>
      </c>
      <c r="I492" s="12">
        <v>1</v>
      </c>
      <c r="J492" s="12" t="s">
        <v>21</v>
      </c>
      <c r="K492" s="12" t="s">
        <v>22</v>
      </c>
      <c r="L492" s="13">
        <v>35</v>
      </c>
    </row>
    <row r="493" spans="1:12" s="10" customFormat="1" ht="18" x14ac:dyDescent="0.25">
      <c r="A493" s="11">
        <v>489</v>
      </c>
      <c r="B493" s="12" t="s">
        <v>445</v>
      </c>
      <c r="C493" s="12" t="str">
        <f t="shared" ref="C493:C500" si="19">"140201"</f>
        <v>140201</v>
      </c>
      <c r="D493" s="12" t="str">
        <f>"14.140201/2024.00430/BC.O."</f>
        <v>14.140201/2024.00430/BC.O.</v>
      </c>
      <c r="E493" s="12" t="str">
        <f>"1985084480"</f>
        <v>1985084480</v>
      </c>
      <c r="F493" s="12" t="str">
        <f>"ESTUFA/BACTEREOLOGICA"</f>
        <v>ESTUFA/BACTEREOLOGICA</v>
      </c>
      <c r="G493" s="12" t="s">
        <v>19</v>
      </c>
      <c r="H493" s="12" t="s">
        <v>20</v>
      </c>
      <c r="I493" s="16">
        <v>1</v>
      </c>
      <c r="J493" s="12" t="s">
        <v>21</v>
      </c>
      <c r="K493" s="12" t="s">
        <v>22</v>
      </c>
      <c r="L493" s="13">
        <v>35</v>
      </c>
    </row>
    <row r="494" spans="1:12" s="25" customFormat="1" ht="30" x14ac:dyDescent="0.3">
      <c r="A494" s="22">
        <v>490</v>
      </c>
      <c r="B494" s="23" t="s">
        <v>445</v>
      </c>
      <c r="C494" s="23" t="str">
        <f t="shared" si="19"/>
        <v>140201</v>
      </c>
      <c r="D494" s="23" t="str">
        <f>"14.140201/2024.00437/BC.O."</f>
        <v>14.140201/2024.00437/BC.O.</v>
      </c>
      <c r="E494" s="23" t="str">
        <f>"2002901042"</f>
        <v>2002901042</v>
      </c>
      <c r="F494" s="23" t="str">
        <f>"EQUIPO DE RAYOS X/PARA EL ESTUDIO RADIOLOGICO"</f>
        <v>EQUIPO DE RAYOS X/PARA EL ESTUDIO RADIOLOGICO</v>
      </c>
      <c r="G494" s="23" t="s">
        <v>19</v>
      </c>
      <c r="H494" s="23" t="s">
        <v>20</v>
      </c>
      <c r="I494" s="24">
        <v>1</v>
      </c>
      <c r="J494" s="23" t="s">
        <v>21</v>
      </c>
      <c r="K494" s="23" t="s">
        <v>446</v>
      </c>
      <c r="L494" s="13">
        <v>1500</v>
      </c>
    </row>
    <row r="495" spans="1:12" s="10" customFormat="1" ht="18" x14ac:dyDescent="0.25">
      <c r="A495" s="11">
        <v>491</v>
      </c>
      <c r="B495" s="12" t="s">
        <v>445</v>
      </c>
      <c r="C495" s="12" t="str">
        <f t="shared" si="19"/>
        <v>140201</v>
      </c>
      <c r="D495" s="12" t="str">
        <f>"14.140201/2024.00431/BC.O."</f>
        <v>14.140201/2024.00431/BC.O.</v>
      </c>
      <c r="E495" s="12" t="str">
        <f>"2002993580"</f>
        <v>2002993580</v>
      </c>
      <c r="F495" s="12" t="str">
        <f>"SILLON/MODELO ESPECIAL"</f>
        <v>SILLON/MODELO ESPECIAL</v>
      </c>
      <c r="G495" s="12" t="s">
        <v>19</v>
      </c>
      <c r="H495" s="12" t="s">
        <v>20</v>
      </c>
      <c r="I495" s="16">
        <v>1</v>
      </c>
      <c r="J495" s="12" t="s">
        <v>21</v>
      </c>
      <c r="K495" s="12" t="s">
        <v>22</v>
      </c>
      <c r="L495" s="13">
        <v>25</v>
      </c>
    </row>
    <row r="496" spans="1:12" s="10" customFormat="1" ht="18" x14ac:dyDescent="0.25">
      <c r="A496" s="11">
        <v>492</v>
      </c>
      <c r="B496" s="12" t="s">
        <v>445</v>
      </c>
      <c r="C496" s="12" t="str">
        <f t="shared" si="19"/>
        <v>140201</v>
      </c>
      <c r="D496" s="12" t="str">
        <f>"14.140201/2024.00432/BC.O."</f>
        <v>14.140201/2024.00432/BC.O.</v>
      </c>
      <c r="E496" s="12" t="str">
        <f>"200400025194"</f>
        <v>200400025194</v>
      </c>
      <c r="F496" s="12" t="str">
        <f>"SILLON/CONFORTABLE"</f>
        <v>SILLON/CONFORTABLE</v>
      </c>
      <c r="G496" s="12" t="s">
        <v>19</v>
      </c>
      <c r="H496" s="12" t="s">
        <v>20</v>
      </c>
      <c r="I496" s="16">
        <v>1</v>
      </c>
      <c r="J496" s="12" t="s">
        <v>21</v>
      </c>
      <c r="K496" s="12" t="s">
        <v>22</v>
      </c>
      <c r="L496" s="13">
        <v>25</v>
      </c>
    </row>
    <row r="497" spans="1:12" s="10" customFormat="1" ht="18" x14ac:dyDescent="0.25">
      <c r="A497" s="11">
        <v>493</v>
      </c>
      <c r="B497" s="12" t="s">
        <v>445</v>
      </c>
      <c r="C497" s="12" t="str">
        <f t="shared" si="19"/>
        <v>140201</v>
      </c>
      <c r="D497" s="12" t="str">
        <f>"14.140201/2024.00433/BC.O."</f>
        <v>14.140201/2024.00433/BC.O.</v>
      </c>
      <c r="E497" s="12" t="str">
        <f>"201880023012"</f>
        <v>201880023012</v>
      </c>
      <c r="F497" s="12" t="str">
        <f>"MOBILIARIO DE ADMINISTRACIÓN"</f>
        <v>MOBILIARIO DE ADMINISTRACIÓN</v>
      </c>
      <c r="G497" s="12" t="s">
        <v>19</v>
      </c>
      <c r="H497" s="12" t="s">
        <v>20</v>
      </c>
      <c r="I497" s="16">
        <v>1</v>
      </c>
      <c r="J497" s="12" t="s">
        <v>21</v>
      </c>
      <c r="K497" s="12" t="s">
        <v>22</v>
      </c>
      <c r="L497" s="13">
        <v>100</v>
      </c>
    </row>
    <row r="498" spans="1:12" s="10" customFormat="1" ht="18" x14ac:dyDescent="0.25">
      <c r="A498" s="11">
        <v>494</v>
      </c>
      <c r="B498" s="12" t="s">
        <v>445</v>
      </c>
      <c r="C498" s="12" t="str">
        <f t="shared" si="19"/>
        <v>140201</v>
      </c>
      <c r="D498" s="12" t="str">
        <f>"14.140201/2024.00434/BC.O."</f>
        <v>14.140201/2024.00434/BC.O.</v>
      </c>
      <c r="E498" s="12" t="str">
        <f>"202200000330"</f>
        <v>202200000330</v>
      </c>
      <c r="F498" s="12" t="str">
        <f>"MOBILIARIO DE SALA DE ESPERA Y OTROS"</f>
        <v>MOBILIARIO DE SALA DE ESPERA Y OTROS</v>
      </c>
      <c r="G498" s="12" t="s">
        <v>19</v>
      </c>
      <c r="H498" s="12" t="s">
        <v>20</v>
      </c>
      <c r="I498" s="16">
        <v>1</v>
      </c>
      <c r="J498" s="12" t="s">
        <v>21</v>
      </c>
      <c r="K498" s="12" t="s">
        <v>22</v>
      </c>
      <c r="L498" s="13">
        <v>100</v>
      </c>
    </row>
    <row r="499" spans="1:12" s="10" customFormat="1" ht="18" x14ac:dyDescent="0.25">
      <c r="A499" s="11">
        <v>495</v>
      </c>
      <c r="B499" s="12" t="s">
        <v>445</v>
      </c>
      <c r="C499" s="12" t="str">
        <f t="shared" si="19"/>
        <v>140201</v>
      </c>
      <c r="D499" s="12" t="str">
        <f>"14.140201/2024.00435/BC.O."</f>
        <v>14.140201/2024.00435/BC.O.</v>
      </c>
      <c r="E499" s="12" t="str">
        <f>"202200000331"</f>
        <v>202200000331</v>
      </c>
      <c r="F499" s="12" t="str">
        <f>"MOBILIARIO DE SALA DE ESPERA Y OTROS"</f>
        <v>MOBILIARIO DE SALA DE ESPERA Y OTROS</v>
      </c>
      <c r="G499" s="12" t="s">
        <v>19</v>
      </c>
      <c r="H499" s="12" t="s">
        <v>20</v>
      </c>
      <c r="I499" s="16">
        <v>1</v>
      </c>
      <c r="J499" s="12" t="s">
        <v>21</v>
      </c>
      <c r="K499" s="12" t="s">
        <v>22</v>
      </c>
      <c r="L499" s="13">
        <v>50</v>
      </c>
    </row>
    <row r="500" spans="1:12" s="10" customFormat="1" ht="18" x14ac:dyDescent="0.25">
      <c r="A500" s="11">
        <v>496</v>
      </c>
      <c r="B500" s="12" t="s">
        <v>445</v>
      </c>
      <c r="C500" s="12" t="str">
        <f t="shared" si="19"/>
        <v>140201</v>
      </c>
      <c r="D500" s="12" t="str">
        <f>"14.140201/2024.00436/BC.O."</f>
        <v>14.140201/2024.00436/BC.O.</v>
      </c>
      <c r="E500" s="12" t="str">
        <f>"202200000332"</f>
        <v>202200000332</v>
      </c>
      <c r="F500" s="12" t="str">
        <f>"MOBILIARIO DE SALA DE ESPERA Y OTROS"</f>
        <v>MOBILIARIO DE SALA DE ESPERA Y OTROS</v>
      </c>
      <c r="G500" s="12" t="s">
        <v>19</v>
      </c>
      <c r="H500" s="12" t="s">
        <v>20</v>
      </c>
      <c r="I500" s="16">
        <v>1</v>
      </c>
      <c r="J500" s="12" t="s">
        <v>21</v>
      </c>
      <c r="K500" s="12" t="s">
        <v>22</v>
      </c>
      <c r="L500" s="13">
        <v>50</v>
      </c>
    </row>
    <row r="501" spans="1:12" s="10" customFormat="1" ht="18" x14ac:dyDescent="0.25">
      <c r="A501" s="11">
        <v>497</v>
      </c>
      <c r="B501" s="26" t="s">
        <v>447</v>
      </c>
      <c r="C501" s="26">
        <v>140401</v>
      </c>
      <c r="D501" s="26" t="s">
        <v>448</v>
      </c>
      <c r="E501" s="27">
        <v>200880021199</v>
      </c>
      <c r="F501" s="26" t="s">
        <v>374</v>
      </c>
      <c r="G501" s="26" t="s">
        <v>19</v>
      </c>
      <c r="H501" s="26" t="s">
        <v>20</v>
      </c>
      <c r="I501" s="26">
        <v>1</v>
      </c>
      <c r="J501" s="26" t="s">
        <v>21</v>
      </c>
      <c r="K501" s="12" t="s">
        <v>22</v>
      </c>
      <c r="L501" s="13">
        <v>35</v>
      </c>
    </row>
    <row r="502" spans="1:12" s="10" customFormat="1" ht="18" x14ac:dyDescent="0.25">
      <c r="A502" s="11">
        <v>498</v>
      </c>
      <c r="B502" s="26" t="s">
        <v>447</v>
      </c>
      <c r="C502" s="26">
        <v>140401</v>
      </c>
      <c r="D502" s="26" t="s">
        <v>449</v>
      </c>
      <c r="E502" s="27">
        <v>201080034295</v>
      </c>
      <c r="F502" s="26" t="s">
        <v>374</v>
      </c>
      <c r="G502" s="26" t="s">
        <v>19</v>
      </c>
      <c r="H502" s="26" t="s">
        <v>20</v>
      </c>
      <c r="I502" s="26">
        <v>1</v>
      </c>
      <c r="J502" s="26" t="s">
        <v>21</v>
      </c>
      <c r="K502" s="12" t="s">
        <v>22</v>
      </c>
      <c r="L502" s="13">
        <v>35</v>
      </c>
    </row>
    <row r="503" spans="1:12" s="10" customFormat="1" ht="18" x14ac:dyDescent="0.25">
      <c r="A503" s="11">
        <v>499</v>
      </c>
      <c r="B503" s="26" t="s">
        <v>447</v>
      </c>
      <c r="C503" s="26">
        <v>140401</v>
      </c>
      <c r="D503" s="26" t="s">
        <v>450</v>
      </c>
      <c r="E503" s="27">
        <v>201080034324</v>
      </c>
      <c r="F503" s="26" t="s">
        <v>374</v>
      </c>
      <c r="G503" s="26" t="s">
        <v>19</v>
      </c>
      <c r="H503" s="26" t="s">
        <v>20</v>
      </c>
      <c r="I503" s="26">
        <v>1</v>
      </c>
      <c r="J503" s="26" t="s">
        <v>21</v>
      </c>
      <c r="K503" s="12" t="s">
        <v>22</v>
      </c>
      <c r="L503" s="13">
        <v>35</v>
      </c>
    </row>
    <row r="504" spans="1:12" s="10" customFormat="1" ht="18" x14ac:dyDescent="0.25">
      <c r="A504" s="11">
        <v>500</v>
      </c>
      <c r="B504" s="26" t="s">
        <v>447</v>
      </c>
      <c r="C504" s="26">
        <v>140401</v>
      </c>
      <c r="D504" s="26" t="s">
        <v>451</v>
      </c>
      <c r="E504" s="27">
        <v>201080053638</v>
      </c>
      <c r="F504" s="26" t="s">
        <v>374</v>
      </c>
      <c r="G504" s="26" t="s">
        <v>19</v>
      </c>
      <c r="H504" s="26" t="s">
        <v>20</v>
      </c>
      <c r="I504" s="26">
        <v>1</v>
      </c>
      <c r="J504" s="26" t="s">
        <v>21</v>
      </c>
      <c r="K504" s="12" t="s">
        <v>22</v>
      </c>
      <c r="L504" s="13">
        <v>35</v>
      </c>
    </row>
    <row r="505" spans="1:12" s="10" customFormat="1" ht="18" x14ac:dyDescent="0.25">
      <c r="A505" s="11">
        <v>501</v>
      </c>
      <c r="B505" s="26" t="s">
        <v>447</v>
      </c>
      <c r="C505" s="26">
        <v>140401</v>
      </c>
      <c r="D505" s="26" t="s">
        <v>452</v>
      </c>
      <c r="E505" s="27">
        <v>201080076140</v>
      </c>
      <c r="F505" s="26" t="s">
        <v>374</v>
      </c>
      <c r="G505" s="26" t="s">
        <v>19</v>
      </c>
      <c r="H505" s="26" t="s">
        <v>20</v>
      </c>
      <c r="I505" s="26">
        <v>1</v>
      </c>
      <c r="J505" s="26" t="s">
        <v>21</v>
      </c>
      <c r="K505" s="12" t="s">
        <v>22</v>
      </c>
      <c r="L505" s="13">
        <v>35</v>
      </c>
    </row>
    <row r="506" spans="1:12" s="10" customFormat="1" ht="18" x14ac:dyDescent="0.25">
      <c r="A506" s="11">
        <v>502</v>
      </c>
      <c r="B506" s="26" t="s">
        <v>447</v>
      </c>
      <c r="C506" s="26">
        <v>140401</v>
      </c>
      <c r="D506" s="26" t="s">
        <v>453</v>
      </c>
      <c r="E506" s="27">
        <v>201180013036</v>
      </c>
      <c r="F506" s="26" t="s">
        <v>374</v>
      </c>
      <c r="G506" s="26" t="s">
        <v>19</v>
      </c>
      <c r="H506" s="26" t="s">
        <v>20</v>
      </c>
      <c r="I506" s="26">
        <v>1</v>
      </c>
      <c r="J506" s="26" t="s">
        <v>21</v>
      </c>
      <c r="K506" s="12" t="s">
        <v>22</v>
      </c>
      <c r="L506" s="13">
        <v>35</v>
      </c>
    </row>
    <row r="507" spans="1:12" s="10" customFormat="1" ht="18" x14ac:dyDescent="0.25">
      <c r="A507" s="11">
        <v>503</v>
      </c>
      <c r="B507" s="26" t="s">
        <v>447</v>
      </c>
      <c r="C507" s="26">
        <v>140401</v>
      </c>
      <c r="D507" s="26" t="s">
        <v>454</v>
      </c>
      <c r="E507" s="27">
        <v>201180034359</v>
      </c>
      <c r="F507" s="26" t="s">
        <v>374</v>
      </c>
      <c r="G507" s="26" t="s">
        <v>19</v>
      </c>
      <c r="H507" s="26" t="s">
        <v>20</v>
      </c>
      <c r="I507" s="26">
        <v>1</v>
      </c>
      <c r="J507" s="26" t="s">
        <v>21</v>
      </c>
      <c r="K507" s="12" t="s">
        <v>22</v>
      </c>
      <c r="L507" s="13">
        <v>35</v>
      </c>
    </row>
    <row r="508" spans="1:12" s="10" customFormat="1" ht="18" x14ac:dyDescent="0.25">
      <c r="A508" s="11">
        <v>504</v>
      </c>
      <c r="B508" s="26" t="s">
        <v>447</v>
      </c>
      <c r="C508" s="26">
        <v>140401</v>
      </c>
      <c r="D508" s="26" t="s">
        <v>455</v>
      </c>
      <c r="E508" s="27">
        <v>1984039261</v>
      </c>
      <c r="F508" s="26" t="s">
        <v>456</v>
      </c>
      <c r="G508" s="26" t="s">
        <v>19</v>
      </c>
      <c r="H508" s="26" t="s">
        <v>20</v>
      </c>
      <c r="I508" s="26">
        <v>1</v>
      </c>
      <c r="J508" s="26" t="s">
        <v>21</v>
      </c>
      <c r="K508" s="12" t="s">
        <v>22</v>
      </c>
      <c r="L508" s="13">
        <v>35</v>
      </c>
    </row>
    <row r="509" spans="1:12" s="10" customFormat="1" ht="18" x14ac:dyDescent="0.25">
      <c r="A509" s="11">
        <v>505</v>
      </c>
      <c r="B509" s="26" t="s">
        <v>447</v>
      </c>
      <c r="C509" s="26">
        <v>140401</v>
      </c>
      <c r="D509" s="26" t="s">
        <v>457</v>
      </c>
      <c r="E509" s="27">
        <v>1988015976</v>
      </c>
      <c r="F509" s="26" t="s">
        <v>458</v>
      </c>
      <c r="G509" s="26" t="s">
        <v>19</v>
      </c>
      <c r="H509" s="26" t="s">
        <v>20</v>
      </c>
      <c r="I509" s="26">
        <v>1</v>
      </c>
      <c r="J509" s="26" t="s">
        <v>21</v>
      </c>
      <c r="K509" s="12" t="s">
        <v>22</v>
      </c>
      <c r="L509" s="13">
        <v>30</v>
      </c>
    </row>
    <row r="510" spans="1:12" s="10" customFormat="1" ht="18" x14ac:dyDescent="0.25">
      <c r="A510" s="11">
        <v>506</v>
      </c>
      <c r="B510" s="26" t="s">
        <v>447</v>
      </c>
      <c r="C510" s="26">
        <v>140401</v>
      </c>
      <c r="D510" s="26" t="s">
        <v>459</v>
      </c>
      <c r="E510" s="27">
        <v>1988015977</v>
      </c>
      <c r="F510" s="26" t="s">
        <v>458</v>
      </c>
      <c r="G510" s="26" t="s">
        <v>19</v>
      </c>
      <c r="H510" s="26" t="s">
        <v>20</v>
      </c>
      <c r="I510" s="26">
        <v>1</v>
      </c>
      <c r="J510" s="26" t="s">
        <v>21</v>
      </c>
      <c r="K510" s="12" t="s">
        <v>22</v>
      </c>
      <c r="L510" s="13">
        <v>30</v>
      </c>
    </row>
    <row r="511" spans="1:12" s="10" customFormat="1" ht="18" x14ac:dyDescent="0.25">
      <c r="A511" s="11">
        <v>507</v>
      </c>
      <c r="B511" s="26" t="s">
        <v>447</v>
      </c>
      <c r="C511" s="26">
        <v>140401</v>
      </c>
      <c r="D511" s="26" t="s">
        <v>460</v>
      </c>
      <c r="E511" s="27">
        <v>1988015979</v>
      </c>
      <c r="F511" s="26" t="s">
        <v>458</v>
      </c>
      <c r="G511" s="26" t="s">
        <v>19</v>
      </c>
      <c r="H511" s="26" t="s">
        <v>20</v>
      </c>
      <c r="I511" s="26">
        <v>1</v>
      </c>
      <c r="J511" s="26" t="s">
        <v>21</v>
      </c>
      <c r="K511" s="12" t="s">
        <v>22</v>
      </c>
      <c r="L511" s="13">
        <v>30</v>
      </c>
    </row>
    <row r="512" spans="1:12" s="10" customFormat="1" ht="18" x14ac:dyDescent="0.25">
      <c r="A512" s="11">
        <v>508</v>
      </c>
      <c r="B512" s="26" t="s">
        <v>447</v>
      </c>
      <c r="C512" s="26">
        <v>140401</v>
      </c>
      <c r="D512" s="26" t="s">
        <v>461</v>
      </c>
      <c r="E512" s="27">
        <v>1988015980</v>
      </c>
      <c r="F512" s="26" t="s">
        <v>458</v>
      </c>
      <c r="G512" s="26" t="s">
        <v>19</v>
      </c>
      <c r="H512" s="26" t="s">
        <v>20</v>
      </c>
      <c r="I512" s="26">
        <v>1</v>
      </c>
      <c r="J512" s="26" t="s">
        <v>21</v>
      </c>
      <c r="K512" s="12" t="s">
        <v>22</v>
      </c>
      <c r="L512" s="13">
        <v>30</v>
      </c>
    </row>
    <row r="513" spans="1:12" s="10" customFormat="1" ht="18" x14ac:dyDescent="0.25">
      <c r="A513" s="11">
        <v>509</v>
      </c>
      <c r="B513" s="26" t="s">
        <v>447</v>
      </c>
      <c r="C513" s="26">
        <v>140401</v>
      </c>
      <c r="D513" s="26" t="s">
        <v>462</v>
      </c>
      <c r="E513" s="27">
        <v>1988015981</v>
      </c>
      <c r="F513" s="26" t="s">
        <v>458</v>
      </c>
      <c r="G513" s="26" t="s">
        <v>19</v>
      </c>
      <c r="H513" s="26" t="s">
        <v>20</v>
      </c>
      <c r="I513" s="26">
        <v>1</v>
      </c>
      <c r="J513" s="26" t="s">
        <v>21</v>
      </c>
      <c r="K513" s="12" t="s">
        <v>22</v>
      </c>
      <c r="L513" s="13">
        <v>30</v>
      </c>
    </row>
    <row r="514" spans="1:12" s="10" customFormat="1" ht="18" x14ac:dyDescent="0.25">
      <c r="A514" s="11">
        <v>510</v>
      </c>
      <c r="B514" s="26" t="s">
        <v>447</v>
      </c>
      <c r="C514" s="26">
        <v>140401</v>
      </c>
      <c r="D514" s="26" t="s">
        <v>463</v>
      </c>
      <c r="E514" s="27">
        <v>1988015982</v>
      </c>
      <c r="F514" s="26" t="s">
        <v>458</v>
      </c>
      <c r="G514" s="26" t="s">
        <v>19</v>
      </c>
      <c r="H514" s="26" t="s">
        <v>20</v>
      </c>
      <c r="I514" s="26">
        <v>1</v>
      </c>
      <c r="J514" s="26" t="s">
        <v>21</v>
      </c>
      <c r="K514" s="12" t="s">
        <v>22</v>
      </c>
      <c r="L514" s="13">
        <v>30</v>
      </c>
    </row>
    <row r="515" spans="1:12" s="10" customFormat="1" ht="18" x14ac:dyDescent="0.25">
      <c r="A515" s="11">
        <v>511</v>
      </c>
      <c r="B515" s="26" t="s">
        <v>447</v>
      </c>
      <c r="C515" s="26">
        <v>140401</v>
      </c>
      <c r="D515" s="26" t="s">
        <v>464</v>
      </c>
      <c r="E515" s="27">
        <v>1988015983</v>
      </c>
      <c r="F515" s="26" t="s">
        <v>458</v>
      </c>
      <c r="G515" s="26" t="s">
        <v>19</v>
      </c>
      <c r="H515" s="26" t="s">
        <v>20</v>
      </c>
      <c r="I515" s="26">
        <v>1</v>
      </c>
      <c r="J515" s="26" t="s">
        <v>21</v>
      </c>
      <c r="K515" s="12" t="s">
        <v>22</v>
      </c>
      <c r="L515" s="13">
        <v>30</v>
      </c>
    </row>
    <row r="516" spans="1:12" s="10" customFormat="1" ht="18" x14ac:dyDescent="0.25">
      <c r="A516" s="11">
        <v>512</v>
      </c>
      <c r="B516" s="26" t="s">
        <v>447</v>
      </c>
      <c r="C516" s="26">
        <v>140401</v>
      </c>
      <c r="D516" s="26" t="s">
        <v>465</v>
      </c>
      <c r="E516" s="27">
        <v>1988015984</v>
      </c>
      <c r="F516" s="26" t="s">
        <v>458</v>
      </c>
      <c r="G516" s="26" t="s">
        <v>19</v>
      </c>
      <c r="H516" s="26" t="s">
        <v>20</v>
      </c>
      <c r="I516" s="26">
        <v>1</v>
      </c>
      <c r="J516" s="26" t="s">
        <v>21</v>
      </c>
      <c r="K516" s="12" t="s">
        <v>22</v>
      </c>
      <c r="L516" s="13">
        <v>30</v>
      </c>
    </row>
    <row r="517" spans="1:12" s="10" customFormat="1" ht="18" x14ac:dyDescent="0.25">
      <c r="A517" s="11">
        <v>513</v>
      </c>
      <c r="B517" s="26" t="s">
        <v>447</v>
      </c>
      <c r="C517" s="26">
        <v>140401</v>
      </c>
      <c r="D517" s="26" t="s">
        <v>466</v>
      </c>
      <c r="E517" s="27">
        <v>1988015985</v>
      </c>
      <c r="F517" s="26" t="s">
        <v>458</v>
      </c>
      <c r="G517" s="26" t="s">
        <v>19</v>
      </c>
      <c r="H517" s="26" t="s">
        <v>20</v>
      </c>
      <c r="I517" s="26">
        <v>1</v>
      </c>
      <c r="J517" s="26" t="s">
        <v>21</v>
      </c>
      <c r="K517" s="12" t="s">
        <v>22</v>
      </c>
      <c r="L517" s="13">
        <v>30</v>
      </c>
    </row>
    <row r="518" spans="1:12" s="10" customFormat="1" ht="18" x14ac:dyDescent="0.25">
      <c r="A518" s="11">
        <v>514</v>
      </c>
      <c r="B518" s="26" t="s">
        <v>447</v>
      </c>
      <c r="C518" s="26">
        <v>140401</v>
      </c>
      <c r="D518" s="26" t="s">
        <v>467</v>
      </c>
      <c r="E518" s="27">
        <v>1988034934</v>
      </c>
      <c r="F518" s="26" t="s">
        <v>468</v>
      </c>
      <c r="G518" s="26" t="s">
        <v>19</v>
      </c>
      <c r="H518" s="26" t="s">
        <v>20</v>
      </c>
      <c r="I518" s="26">
        <v>1</v>
      </c>
      <c r="J518" s="26" t="s">
        <v>21</v>
      </c>
      <c r="K518" s="12" t="s">
        <v>22</v>
      </c>
      <c r="L518" s="13">
        <v>200</v>
      </c>
    </row>
    <row r="519" spans="1:12" s="10" customFormat="1" ht="18" x14ac:dyDescent="0.25">
      <c r="A519" s="11">
        <v>515</v>
      </c>
      <c r="B519" s="26" t="s">
        <v>447</v>
      </c>
      <c r="C519" s="26">
        <v>140401</v>
      </c>
      <c r="D519" s="26" t="s">
        <v>469</v>
      </c>
      <c r="E519" s="27">
        <v>1988034935</v>
      </c>
      <c r="F519" s="26" t="s">
        <v>468</v>
      </c>
      <c r="G519" s="26" t="s">
        <v>19</v>
      </c>
      <c r="H519" s="26" t="s">
        <v>20</v>
      </c>
      <c r="I519" s="26">
        <v>1</v>
      </c>
      <c r="J519" s="26" t="s">
        <v>21</v>
      </c>
      <c r="K519" s="12" t="s">
        <v>22</v>
      </c>
      <c r="L519" s="13">
        <v>200</v>
      </c>
    </row>
    <row r="520" spans="1:12" s="10" customFormat="1" ht="18" x14ac:dyDescent="0.25">
      <c r="A520" s="11">
        <v>516</v>
      </c>
      <c r="B520" s="26" t="s">
        <v>447</v>
      </c>
      <c r="C520" s="26">
        <v>140401</v>
      </c>
      <c r="D520" s="26" t="s">
        <v>470</v>
      </c>
      <c r="E520" s="27">
        <v>1994009124</v>
      </c>
      <c r="F520" s="26" t="s">
        <v>471</v>
      </c>
      <c r="G520" s="26" t="s">
        <v>19</v>
      </c>
      <c r="H520" s="26" t="s">
        <v>20</v>
      </c>
      <c r="I520" s="26">
        <v>1</v>
      </c>
      <c r="J520" s="26" t="s">
        <v>21</v>
      </c>
      <c r="K520" s="12" t="s">
        <v>22</v>
      </c>
      <c r="L520" s="13">
        <v>35</v>
      </c>
    </row>
    <row r="521" spans="1:12" s="10" customFormat="1" ht="18" x14ac:dyDescent="0.25">
      <c r="A521" s="11">
        <v>517</v>
      </c>
      <c r="B521" s="26" t="s">
        <v>447</v>
      </c>
      <c r="C521" s="26">
        <v>140401</v>
      </c>
      <c r="D521" s="26" t="s">
        <v>472</v>
      </c>
      <c r="E521" s="27">
        <v>1994012078</v>
      </c>
      <c r="F521" s="26" t="s">
        <v>473</v>
      </c>
      <c r="G521" s="26" t="s">
        <v>19</v>
      </c>
      <c r="H521" s="26" t="s">
        <v>20</v>
      </c>
      <c r="I521" s="26">
        <v>1</v>
      </c>
      <c r="J521" s="26" t="s">
        <v>21</v>
      </c>
      <c r="K521" s="12" t="s">
        <v>22</v>
      </c>
      <c r="L521" s="13">
        <v>50</v>
      </c>
    </row>
    <row r="522" spans="1:12" s="10" customFormat="1" ht="18" x14ac:dyDescent="0.25">
      <c r="A522" s="11">
        <v>518</v>
      </c>
      <c r="B522" s="26" t="s">
        <v>447</v>
      </c>
      <c r="C522" s="26">
        <v>140401</v>
      </c>
      <c r="D522" s="26" t="s">
        <v>474</v>
      </c>
      <c r="E522" s="27">
        <v>1994020009</v>
      </c>
      <c r="F522" s="26" t="s">
        <v>475</v>
      </c>
      <c r="G522" s="26" t="s">
        <v>19</v>
      </c>
      <c r="H522" s="26" t="s">
        <v>20</v>
      </c>
      <c r="I522" s="26">
        <v>1</v>
      </c>
      <c r="J522" s="26" t="s">
        <v>21</v>
      </c>
      <c r="K522" s="12" t="s">
        <v>22</v>
      </c>
      <c r="L522" s="13">
        <v>30</v>
      </c>
    </row>
    <row r="523" spans="1:12" s="10" customFormat="1" ht="18" x14ac:dyDescent="0.25">
      <c r="A523" s="11">
        <v>519</v>
      </c>
      <c r="B523" s="26" t="s">
        <v>447</v>
      </c>
      <c r="C523" s="26">
        <v>140401</v>
      </c>
      <c r="D523" s="26" t="s">
        <v>476</v>
      </c>
      <c r="E523" s="27">
        <v>1994403561</v>
      </c>
      <c r="F523" s="26" t="s">
        <v>477</v>
      </c>
      <c r="G523" s="26" t="s">
        <v>19</v>
      </c>
      <c r="H523" s="26" t="s">
        <v>20</v>
      </c>
      <c r="I523" s="26">
        <v>1</v>
      </c>
      <c r="J523" s="26" t="s">
        <v>21</v>
      </c>
      <c r="K523" s="12" t="s">
        <v>22</v>
      </c>
      <c r="L523" s="13">
        <v>150</v>
      </c>
    </row>
    <row r="524" spans="1:12" s="10" customFormat="1" ht="18" x14ac:dyDescent="0.25">
      <c r="A524" s="11">
        <v>520</v>
      </c>
      <c r="B524" s="26" t="s">
        <v>447</v>
      </c>
      <c r="C524" s="26">
        <v>140401</v>
      </c>
      <c r="D524" s="26" t="s">
        <v>478</v>
      </c>
      <c r="E524" s="27">
        <v>1994403562</v>
      </c>
      <c r="F524" s="26" t="s">
        <v>477</v>
      </c>
      <c r="G524" s="26" t="s">
        <v>19</v>
      </c>
      <c r="H524" s="26" t="s">
        <v>20</v>
      </c>
      <c r="I524" s="26">
        <v>1</v>
      </c>
      <c r="J524" s="26" t="s">
        <v>21</v>
      </c>
      <c r="K524" s="12" t="s">
        <v>22</v>
      </c>
      <c r="L524" s="13">
        <v>150</v>
      </c>
    </row>
    <row r="525" spans="1:12" s="10" customFormat="1" ht="18" x14ac:dyDescent="0.25">
      <c r="A525" s="11">
        <v>521</v>
      </c>
      <c r="B525" s="26" t="s">
        <v>447</v>
      </c>
      <c r="C525" s="26">
        <v>140401</v>
      </c>
      <c r="D525" s="26" t="s">
        <v>479</v>
      </c>
      <c r="E525" s="27">
        <v>2000935143</v>
      </c>
      <c r="F525" s="26" t="s">
        <v>480</v>
      </c>
      <c r="G525" s="26" t="s">
        <v>19</v>
      </c>
      <c r="H525" s="26" t="s">
        <v>20</v>
      </c>
      <c r="I525" s="26">
        <v>1</v>
      </c>
      <c r="J525" s="26" t="s">
        <v>21</v>
      </c>
      <c r="K525" s="12" t="s">
        <v>22</v>
      </c>
      <c r="L525" s="13">
        <v>50</v>
      </c>
    </row>
    <row r="526" spans="1:12" s="10" customFormat="1" ht="18" x14ac:dyDescent="0.25">
      <c r="A526" s="11">
        <v>522</v>
      </c>
      <c r="B526" s="26" t="s">
        <v>447</v>
      </c>
      <c r="C526" s="26">
        <v>140401</v>
      </c>
      <c r="D526" s="26" t="s">
        <v>481</v>
      </c>
      <c r="E526" s="27">
        <v>200400018972</v>
      </c>
      <c r="F526" s="26" t="s">
        <v>480</v>
      </c>
      <c r="G526" s="26" t="s">
        <v>19</v>
      </c>
      <c r="H526" s="26" t="s">
        <v>20</v>
      </c>
      <c r="I526" s="26">
        <v>1</v>
      </c>
      <c r="J526" s="26" t="s">
        <v>21</v>
      </c>
      <c r="K526" s="12" t="s">
        <v>22</v>
      </c>
      <c r="L526" s="13">
        <v>50</v>
      </c>
    </row>
    <row r="527" spans="1:12" s="10" customFormat="1" ht="18" x14ac:dyDescent="0.25">
      <c r="A527" s="11">
        <v>523</v>
      </c>
      <c r="B527" s="26" t="s">
        <v>447</v>
      </c>
      <c r="C527" s="26">
        <v>140401</v>
      </c>
      <c r="D527" s="26" t="s">
        <v>482</v>
      </c>
      <c r="E527" s="27">
        <v>200400023648</v>
      </c>
      <c r="F527" s="26" t="s">
        <v>471</v>
      </c>
      <c r="G527" s="26" t="s">
        <v>19</v>
      </c>
      <c r="H527" s="26" t="s">
        <v>20</v>
      </c>
      <c r="I527" s="26">
        <v>1</v>
      </c>
      <c r="J527" s="26" t="s">
        <v>21</v>
      </c>
      <c r="K527" s="12" t="s">
        <v>22</v>
      </c>
      <c r="L527" s="13">
        <v>35</v>
      </c>
    </row>
    <row r="528" spans="1:12" s="10" customFormat="1" ht="18" x14ac:dyDescent="0.25">
      <c r="A528" s="11">
        <v>524</v>
      </c>
      <c r="B528" s="26" t="s">
        <v>447</v>
      </c>
      <c r="C528" s="26">
        <v>140401</v>
      </c>
      <c r="D528" s="26" t="s">
        <v>483</v>
      </c>
      <c r="E528" s="27">
        <v>200400027383</v>
      </c>
      <c r="F528" s="26" t="s">
        <v>484</v>
      </c>
      <c r="G528" s="26" t="s">
        <v>19</v>
      </c>
      <c r="H528" s="26" t="s">
        <v>20</v>
      </c>
      <c r="I528" s="26">
        <v>1</v>
      </c>
      <c r="J528" s="26" t="s">
        <v>21</v>
      </c>
      <c r="K528" s="12" t="s">
        <v>22</v>
      </c>
      <c r="L528" s="13">
        <v>80</v>
      </c>
    </row>
    <row r="529" spans="1:12" s="10" customFormat="1" ht="18" x14ac:dyDescent="0.25">
      <c r="A529" s="11">
        <v>525</v>
      </c>
      <c r="B529" s="26" t="s">
        <v>447</v>
      </c>
      <c r="C529" s="26">
        <v>140401</v>
      </c>
      <c r="D529" s="26" t="s">
        <v>485</v>
      </c>
      <c r="E529" s="27">
        <v>200400029164</v>
      </c>
      <c r="F529" s="26" t="s">
        <v>486</v>
      </c>
      <c r="G529" s="26" t="s">
        <v>19</v>
      </c>
      <c r="H529" s="26" t="s">
        <v>20</v>
      </c>
      <c r="I529" s="26">
        <v>1</v>
      </c>
      <c r="J529" s="26" t="s">
        <v>21</v>
      </c>
      <c r="K529" s="12" t="s">
        <v>22</v>
      </c>
      <c r="L529" s="13">
        <v>35</v>
      </c>
    </row>
    <row r="530" spans="1:12" s="10" customFormat="1" ht="18" x14ac:dyDescent="0.25">
      <c r="A530" s="11">
        <v>526</v>
      </c>
      <c r="B530" s="26" t="s">
        <v>447</v>
      </c>
      <c r="C530" s="26">
        <v>140401</v>
      </c>
      <c r="D530" s="26" t="s">
        <v>487</v>
      </c>
      <c r="E530" s="27">
        <v>201680022459</v>
      </c>
      <c r="F530" s="26" t="s">
        <v>396</v>
      </c>
      <c r="G530" s="26" t="s">
        <v>19</v>
      </c>
      <c r="H530" s="26" t="s">
        <v>20</v>
      </c>
      <c r="I530" s="26">
        <v>1</v>
      </c>
      <c r="J530" s="26" t="s">
        <v>21</v>
      </c>
      <c r="K530" s="12" t="s">
        <v>22</v>
      </c>
      <c r="L530" s="13">
        <v>25</v>
      </c>
    </row>
    <row r="531" spans="1:12" s="10" customFormat="1" ht="18" x14ac:dyDescent="0.25">
      <c r="A531" s="11">
        <v>527</v>
      </c>
      <c r="B531" s="26" t="s">
        <v>447</v>
      </c>
      <c r="C531" s="26">
        <v>140401</v>
      </c>
      <c r="D531" s="26" t="s">
        <v>488</v>
      </c>
      <c r="E531" s="27">
        <v>201680022460</v>
      </c>
      <c r="F531" s="26" t="s">
        <v>396</v>
      </c>
      <c r="G531" s="26" t="s">
        <v>19</v>
      </c>
      <c r="H531" s="26" t="s">
        <v>20</v>
      </c>
      <c r="I531" s="26">
        <v>1</v>
      </c>
      <c r="J531" s="26" t="s">
        <v>21</v>
      </c>
      <c r="K531" s="12" t="s">
        <v>22</v>
      </c>
      <c r="L531" s="13">
        <v>25</v>
      </c>
    </row>
    <row r="532" spans="1:12" s="10" customFormat="1" ht="18" x14ac:dyDescent="0.25">
      <c r="A532" s="11">
        <v>528</v>
      </c>
      <c r="B532" s="26" t="s">
        <v>447</v>
      </c>
      <c r="C532" s="26">
        <v>140401</v>
      </c>
      <c r="D532" s="26" t="s">
        <v>489</v>
      </c>
      <c r="E532" s="27">
        <v>201680022461</v>
      </c>
      <c r="F532" s="26" t="s">
        <v>396</v>
      </c>
      <c r="G532" s="26" t="s">
        <v>19</v>
      </c>
      <c r="H532" s="26" t="s">
        <v>20</v>
      </c>
      <c r="I532" s="26">
        <v>1</v>
      </c>
      <c r="J532" s="26" t="s">
        <v>21</v>
      </c>
      <c r="K532" s="12" t="s">
        <v>22</v>
      </c>
      <c r="L532" s="13">
        <v>25</v>
      </c>
    </row>
    <row r="533" spans="1:12" s="10" customFormat="1" ht="18" x14ac:dyDescent="0.25">
      <c r="A533" s="11">
        <v>529</v>
      </c>
      <c r="B533" s="26" t="s">
        <v>447</v>
      </c>
      <c r="C533" s="26">
        <v>140401</v>
      </c>
      <c r="D533" s="26" t="s">
        <v>490</v>
      </c>
      <c r="E533" s="27">
        <v>201680022462</v>
      </c>
      <c r="F533" s="26" t="s">
        <v>396</v>
      </c>
      <c r="G533" s="26" t="s">
        <v>19</v>
      </c>
      <c r="H533" s="26" t="s">
        <v>20</v>
      </c>
      <c r="I533" s="26">
        <v>1</v>
      </c>
      <c r="J533" s="26" t="s">
        <v>21</v>
      </c>
      <c r="K533" s="12" t="s">
        <v>22</v>
      </c>
      <c r="L533" s="13">
        <v>25</v>
      </c>
    </row>
    <row r="534" spans="1:12" s="10" customFormat="1" ht="18" x14ac:dyDescent="0.25">
      <c r="A534" s="11">
        <v>530</v>
      </c>
      <c r="B534" s="26" t="s">
        <v>447</v>
      </c>
      <c r="C534" s="26">
        <v>140401</v>
      </c>
      <c r="D534" s="26" t="s">
        <v>491</v>
      </c>
      <c r="E534" s="27">
        <v>201680022463</v>
      </c>
      <c r="F534" s="26" t="s">
        <v>396</v>
      </c>
      <c r="G534" s="26" t="s">
        <v>19</v>
      </c>
      <c r="H534" s="26" t="s">
        <v>20</v>
      </c>
      <c r="I534" s="26">
        <v>1</v>
      </c>
      <c r="J534" s="26" t="s">
        <v>21</v>
      </c>
      <c r="K534" s="12" t="s">
        <v>22</v>
      </c>
      <c r="L534" s="13">
        <v>25</v>
      </c>
    </row>
    <row r="535" spans="1:12" s="10" customFormat="1" ht="18" x14ac:dyDescent="0.25">
      <c r="A535" s="11">
        <v>531</v>
      </c>
      <c r="B535" s="26" t="s">
        <v>447</v>
      </c>
      <c r="C535" s="26">
        <v>140401</v>
      </c>
      <c r="D535" s="26" t="s">
        <v>492</v>
      </c>
      <c r="E535" s="27">
        <v>201680022464</v>
      </c>
      <c r="F535" s="26" t="s">
        <v>396</v>
      </c>
      <c r="G535" s="26" t="s">
        <v>19</v>
      </c>
      <c r="H535" s="26" t="s">
        <v>20</v>
      </c>
      <c r="I535" s="26">
        <v>1</v>
      </c>
      <c r="J535" s="26" t="s">
        <v>21</v>
      </c>
      <c r="K535" s="12" t="s">
        <v>22</v>
      </c>
      <c r="L535" s="13">
        <v>25</v>
      </c>
    </row>
    <row r="536" spans="1:12" s="10" customFormat="1" ht="18" x14ac:dyDescent="0.25">
      <c r="A536" s="11">
        <v>532</v>
      </c>
      <c r="B536" s="26" t="s">
        <v>447</v>
      </c>
      <c r="C536" s="26">
        <v>140401</v>
      </c>
      <c r="D536" s="26" t="s">
        <v>493</v>
      </c>
      <c r="E536" s="27">
        <v>201680022465</v>
      </c>
      <c r="F536" s="26" t="s">
        <v>396</v>
      </c>
      <c r="G536" s="26" t="s">
        <v>19</v>
      </c>
      <c r="H536" s="26" t="s">
        <v>20</v>
      </c>
      <c r="I536" s="26">
        <v>1</v>
      </c>
      <c r="J536" s="26" t="s">
        <v>21</v>
      </c>
      <c r="K536" s="12" t="s">
        <v>22</v>
      </c>
      <c r="L536" s="13">
        <v>25</v>
      </c>
    </row>
    <row r="537" spans="1:12" s="10" customFormat="1" ht="18" x14ac:dyDescent="0.25">
      <c r="A537" s="11">
        <v>533</v>
      </c>
      <c r="B537" s="26" t="s">
        <v>447</v>
      </c>
      <c r="C537" s="26">
        <v>140401</v>
      </c>
      <c r="D537" s="26" t="s">
        <v>494</v>
      </c>
      <c r="E537" s="27">
        <v>201680022466</v>
      </c>
      <c r="F537" s="26" t="s">
        <v>396</v>
      </c>
      <c r="G537" s="26" t="s">
        <v>19</v>
      </c>
      <c r="H537" s="26" t="s">
        <v>20</v>
      </c>
      <c r="I537" s="26">
        <v>1</v>
      </c>
      <c r="J537" s="26" t="s">
        <v>21</v>
      </c>
      <c r="K537" s="12" t="s">
        <v>22</v>
      </c>
      <c r="L537" s="13">
        <v>25</v>
      </c>
    </row>
    <row r="538" spans="1:12" s="10" customFormat="1" ht="18" x14ac:dyDescent="0.25">
      <c r="A538" s="11">
        <v>534</v>
      </c>
      <c r="B538" s="26" t="s">
        <v>447</v>
      </c>
      <c r="C538" s="26">
        <v>140401</v>
      </c>
      <c r="D538" s="26" t="s">
        <v>495</v>
      </c>
      <c r="E538" s="27">
        <v>201680022467</v>
      </c>
      <c r="F538" s="26" t="s">
        <v>396</v>
      </c>
      <c r="G538" s="26" t="s">
        <v>19</v>
      </c>
      <c r="H538" s="26" t="s">
        <v>20</v>
      </c>
      <c r="I538" s="26">
        <v>1</v>
      </c>
      <c r="J538" s="26" t="s">
        <v>21</v>
      </c>
      <c r="K538" s="12" t="s">
        <v>22</v>
      </c>
      <c r="L538" s="13">
        <v>25</v>
      </c>
    </row>
    <row r="539" spans="1:12" s="10" customFormat="1" ht="18" x14ac:dyDescent="0.25">
      <c r="A539" s="11">
        <v>535</v>
      </c>
      <c r="B539" s="26" t="s">
        <v>447</v>
      </c>
      <c r="C539" s="26">
        <v>140401</v>
      </c>
      <c r="D539" s="26" t="s">
        <v>496</v>
      </c>
      <c r="E539" s="27">
        <v>201680022468</v>
      </c>
      <c r="F539" s="26" t="s">
        <v>396</v>
      </c>
      <c r="G539" s="26" t="s">
        <v>19</v>
      </c>
      <c r="H539" s="26" t="s">
        <v>20</v>
      </c>
      <c r="I539" s="26">
        <v>1</v>
      </c>
      <c r="J539" s="26" t="s">
        <v>21</v>
      </c>
      <c r="K539" s="12" t="s">
        <v>22</v>
      </c>
      <c r="L539" s="13">
        <v>25</v>
      </c>
    </row>
    <row r="540" spans="1:12" s="10" customFormat="1" ht="18" x14ac:dyDescent="0.25">
      <c r="A540" s="11">
        <v>536</v>
      </c>
      <c r="B540" s="26" t="s">
        <v>447</v>
      </c>
      <c r="C540" s="26">
        <v>140401</v>
      </c>
      <c r="D540" s="26" t="s">
        <v>497</v>
      </c>
      <c r="E540" s="27">
        <v>201680022469</v>
      </c>
      <c r="F540" s="26" t="s">
        <v>396</v>
      </c>
      <c r="G540" s="26" t="s">
        <v>19</v>
      </c>
      <c r="H540" s="26" t="s">
        <v>20</v>
      </c>
      <c r="I540" s="26">
        <v>1</v>
      </c>
      <c r="J540" s="26" t="s">
        <v>21</v>
      </c>
      <c r="K540" s="12" t="s">
        <v>22</v>
      </c>
      <c r="L540" s="13">
        <v>25</v>
      </c>
    </row>
    <row r="541" spans="1:12" s="10" customFormat="1" ht="18" x14ac:dyDescent="0.25">
      <c r="A541" s="11">
        <v>537</v>
      </c>
      <c r="B541" s="26" t="s">
        <v>447</v>
      </c>
      <c r="C541" s="26">
        <v>140401</v>
      </c>
      <c r="D541" s="26" t="s">
        <v>498</v>
      </c>
      <c r="E541" s="27">
        <v>201680022470</v>
      </c>
      <c r="F541" s="26" t="s">
        <v>396</v>
      </c>
      <c r="G541" s="26" t="s">
        <v>19</v>
      </c>
      <c r="H541" s="26" t="s">
        <v>20</v>
      </c>
      <c r="I541" s="26">
        <v>1</v>
      </c>
      <c r="J541" s="26" t="s">
        <v>21</v>
      </c>
      <c r="K541" s="12" t="s">
        <v>22</v>
      </c>
      <c r="L541" s="13">
        <v>25</v>
      </c>
    </row>
    <row r="542" spans="1:12" s="10" customFormat="1" ht="18" x14ac:dyDescent="0.25">
      <c r="A542" s="11">
        <v>538</v>
      </c>
      <c r="B542" s="26" t="s">
        <v>447</v>
      </c>
      <c r="C542" s="26">
        <v>140401</v>
      </c>
      <c r="D542" s="26" t="s">
        <v>499</v>
      </c>
      <c r="E542" s="27">
        <v>201680022471</v>
      </c>
      <c r="F542" s="26" t="s">
        <v>396</v>
      </c>
      <c r="G542" s="26" t="s">
        <v>19</v>
      </c>
      <c r="H542" s="26" t="s">
        <v>20</v>
      </c>
      <c r="I542" s="26">
        <v>1</v>
      </c>
      <c r="J542" s="26" t="s">
        <v>21</v>
      </c>
      <c r="K542" s="12" t="s">
        <v>22</v>
      </c>
      <c r="L542" s="13">
        <v>25</v>
      </c>
    </row>
    <row r="543" spans="1:12" s="10" customFormat="1" ht="18" x14ac:dyDescent="0.25">
      <c r="A543" s="11">
        <v>539</v>
      </c>
      <c r="B543" s="26" t="s">
        <v>447</v>
      </c>
      <c r="C543" s="26">
        <v>140401</v>
      </c>
      <c r="D543" s="26" t="s">
        <v>500</v>
      </c>
      <c r="E543" s="27">
        <v>201680022472</v>
      </c>
      <c r="F543" s="26" t="s">
        <v>396</v>
      </c>
      <c r="G543" s="26" t="s">
        <v>19</v>
      </c>
      <c r="H543" s="26" t="s">
        <v>20</v>
      </c>
      <c r="I543" s="26">
        <v>1</v>
      </c>
      <c r="J543" s="26" t="s">
        <v>21</v>
      </c>
      <c r="K543" s="12" t="s">
        <v>22</v>
      </c>
      <c r="L543" s="13">
        <v>25</v>
      </c>
    </row>
    <row r="544" spans="1:12" s="10" customFormat="1" ht="18" x14ac:dyDescent="0.25">
      <c r="A544" s="11">
        <v>540</v>
      </c>
      <c r="B544" s="26" t="s">
        <v>447</v>
      </c>
      <c r="C544" s="26">
        <v>140401</v>
      </c>
      <c r="D544" s="26" t="s">
        <v>501</v>
      </c>
      <c r="E544" s="27">
        <v>201680022473</v>
      </c>
      <c r="F544" s="26" t="s">
        <v>396</v>
      </c>
      <c r="G544" s="26" t="s">
        <v>19</v>
      </c>
      <c r="H544" s="26" t="s">
        <v>20</v>
      </c>
      <c r="I544" s="26">
        <v>1</v>
      </c>
      <c r="J544" s="26" t="s">
        <v>21</v>
      </c>
      <c r="K544" s="12" t="s">
        <v>22</v>
      </c>
      <c r="L544" s="13">
        <v>25</v>
      </c>
    </row>
    <row r="545" spans="1:12" s="10" customFormat="1" ht="18" x14ac:dyDescent="0.25">
      <c r="A545" s="11">
        <v>541</v>
      </c>
      <c r="B545" s="26" t="s">
        <v>447</v>
      </c>
      <c r="C545" s="26">
        <v>140401</v>
      </c>
      <c r="D545" s="26" t="s">
        <v>502</v>
      </c>
      <c r="E545" s="27">
        <v>201680022474</v>
      </c>
      <c r="F545" s="26" t="s">
        <v>396</v>
      </c>
      <c r="G545" s="26" t="s">
        <v>19</v>
      </c>
      <c r="H545" s="26" t="s">
        <v>20</v>
      </c>
      <c r="I545" s="26">
        <v>1</v>
      </c>
      <c r="J545" s="26" t="s">
        <v>21</v>
      </c>
      <c r="K545" s="12" t="s">
        <v>22</v>
      </c>
      <c r="L545" s="13">
        <v>25</v>
      </c>
    </row>
    <row r="546" spans="1:12" s="10" customFormat="1" ht="18" x14ac:dyDescent="0.25">
      <c r="A546" s="11">
        <v>542</v>
      </c>
      <c r="B546" s="26" t="s">
        <v>447</v>
      </c>
      <c r="C546" s="26">
        <v>140401</v>
      </c>
      <c r="D546" s="26" t="s">
        <v>503</v>
      </c>
      <c r="E546" s="27">
        <v>201680022475</v>
      </c>
      <c r="F546" s="26" t="s">
        <v>396</v>
      </c>
      <c r="G546" s="26" t="s">
        <v>19</v>
      </c>
      <c r="H546" s="26" t="s">
        <v>20</v>
      </c>
      <c r="I546" s="26">
        <v>1</v>
      </c>
      <c r="J546" s="26" t="s">
        <v>21</v>
      </c>
      <c r="K546" s="12" t="s">
        <v>22</v>
      </c>
      <c r="L546" s="13">
        <v>25</v>
      </c>
    </row>
    <row r="547" spans="1:12" s="10" customFormat="1" ht="18" x14ac:dyDescent="0.25">
      <c r="A547" s="11">
        <v>543</v>
      </c>
      <c r="B547" s="26" t="s">
        <v>447</v>
      </c>
      <c r="C547" s="26">
        <v>140401</v>
      </c>
      <c r="D547" s="26" t="s">
        <v>504</v>
      </c>
      <c r="E547" s="27">
        <v>201680022476</v>
      </c>
      <c r="F547" s="26" t="s">
        <v>396</v>
      </c>
      <c r="G547" s="26" t="s">
        <v>19</v>
      </c>
      <c r="H547" s="26" t="s">
        <v>20</v>
      </c>
      <c r="I547" s="26">
        <v>1</v>
      </c>
      <c r="J547" s="26" t="s">
        <v>21</v>
      </c>
      <c r="K547" s="12" t="s">
        <v>22</v>
      </c>
      <c r="L547" s="13">
        <v>25</v>
      </c>
    </row>
    <row r="548" spans="1:12" s="10" customFormat="1" ht="18" x14ac:dyDescent="0.25">
      <c r="A548" s="11">
        <v>544</v>
      </c>
      <c r="B548" s="26" t="s">
        <v>447</v>
      </c>
      <c r="C548" s="26">
        <v>140401</v>
      </c>
      <c r="D548" s="26" t="s">
        <v>505</v>
      </c>
      <c r="E548" s="27">
        <v>201680022477</v>
      </c>
      <c r="F548" s="26" t="s">
        <v>396</v>
      </c>
      <c r="G548" s="26" t="s">
        <v>19</v>
      </c>
      <c r="H548" s="26" t="s">
        <v>20</v>
      </c>
      <c r="I548" s="26">
        <v>1</v>
      </c>
      <c r="J548" s="26" t="s">
        <v>21</v>
      </c>
      <c r="K548" s="12" t="s">
        <v>22</v>
      </c>
      <c r="L548" s="13">
        <v>25</v>
      </c>
    </row>
    <row r="549" spans="1:12" s="10" customFormat="1" ht="18" x14ac:dyDescent="0.25">
      <c r="A549" s="11">
        <v>545</v>
      </c>
      <c r="B549" s="26" t="s">
        <v>447</v>
      </c>
      <c r="C549" s="26">
        <v>140401</v>
      </c>
      <c r="D549" s="26" t="s">
        <v>506</v>
      </c>
      <c r="E549" s="27">
        <v>201680022478</v>
      </c>
      <c r="F549" s="26" t="s">
        <v>396</v>
      </c>
      <c r="G549" s="26" t="s">
        <v>19</v>
      </c>
      <c r="H549" s="26" t="s">
        <v>20</v>
      </c>
      <c r="I549" s="26">
        <v>1</v>
      </c>
      <c r="J549" s="26" t="s">
        <v>21</v>
      </c>
      <c r="K549" s="12" t="s">
        <v>22</v>
      </c>
      <c r="L549" s="13">
        <v>25</v>
      </c>
    </row>
    <row r="550" spans="1:12" s="10" customFormat="1" ht="18" x14ac:dyDescent="0.25">
      <c r="A550" s="11">
        <v>546</v>
      </c>
      <c r="B550" s="26" t="s">
        <v>447</v>
      </c>
      <c r="C550" s="26">
        <v>140401</v>
      </c>
      <c r="D550" s="26" t="s">
        <v>507</v>
      </c>
      <c r="E550" s="27">
        <v>201880023016</v>
      </c>
      <c r="F550" s="26" t="s">
        <v>508</v>
      </c>
      <c r="G550" s="26" t="s">
        <v>19</v>
      </c>
      <c r="H550" s="26" t="s">
        <v>20</v>
      </c>
      <c r="I550" s="26">
        <v>1</v>
      </c>
      <c r="J550" s="26" t="s">
        <v>21</v>
      </c>
      <c r="K550" s="12" t="s">
        <v>22</v>
      </c>
      <c r="L550" s="13">
        <v>50</v>
      </c>
    </row>
    <row r="551" spans="1:12" s="10" customFormat="1" ht="18" x14ac:dyDescent="0.25">
      <c r="A551" s="11">
        <v>547</v>
      </c>
      <c r="B551" s="26" t="s">
        <v>447</v>
      </c>
      <c r="C551" s="26">
        <v>140401</v>
      </c>
      <c r="D551" s="26" t="s">
        <v>509</v>
      </c>
      <c r="E551" s="27">
        <v>201880023017</v>
      </c>
      <c r="F551" s="26" t="s">
        <v>508</v>
      </c>
      <c r="G551" s="26" t="s">
        <v>19</v>
      </c>
      <c r="H551" s="26" t="s">
        <v>20</v>
      </c>
      <c r="I551" s="26">
        <v>1</v>
      </c>
      <c r="J551" s="26" t="s">
        <v>21</v>
      </c>
      <c r="K551" s="12" t="s">
        <v>22</v>
      </c>
      <c r="L551" s="13">
        <v>50</v>
      </c>
    </row>
    <row r="552" spans="1:12" s="10" customFormat="1" ht="18" x14ac:dyDescent="0.25">
      <c r="A552" s="11">
        <v>548</v>
      </c>
      <c r="B552" s="26" t="s">
        <v>447</v>
      </c>
      <c r="C552" s="26">
        <v>140401</v>
      </c>
      <c r="D552" s="26" t="s">
        <v>510</v>
      </c>
      <c r="E552" s="27">
        <v>201880023018</v>
      </c>
      <c r="F552" s="26" t="s">
        <v>508</v>
      </c>
      <c r="G552" s="26" t="s">
        <v>19</v>
      </c>
      <c r="H552" s="26" t="s">
        <v>20</v>
      </c>
      <c r="I552" s="26">
        <v>1</v>
      </c>
      <c r="J552" s="26" t="s">
        <v>21</v>
      </c>
      <c r="K552" s="12" t="s">
        <v>22</v>
      </c>
      <c r="L552" s="13">
        <v>50</v>
      </c>
    </row>
    <row r="553" spans="1:12" s="10" customFormat="1" ht="18" x14ac:dyDescent="0.25">
      <c r="A553" s="11">
        <v>549</v>
      </c>
      <c r="B553" s="26" t="s">
        <v>447</v>
      </c>
      <c r="C553" s="26">
        <v>140401</v>
      </c>
      <c r="D553" s="26" t="s">
        <v>511</v>
      </c>
      <c r="E553" s="27">
        <v>201880023019</v>
      </c>
      <c r="F553" s="26" t="s">
        <v>508</v>
      </c>
      <c r="G553" s="26" t="s">
        <v>19</v>
      </c>
      <c r="H553" s="26" t="s">
        <v>20</v>
      </c>
      <c r="I553" s="26">
        <v>1</v>
      </c>
      <c r="J553" s="26" t="s">
        <v>21</v>
      </c>
      <c r="K553" s="12" t="s">
        <v>22</v>
      </c>
      <c r="L553" s="13">
        <v>50</v>
      </c>
    </row>
    <row r="554" spans="1:12" s="10" customFormat="1" ht="18" x14ac:dyDescent="0.25">
      <c r="A554" s="11">
        <v>550</v>
      </c>
      <c r="B554" s="26" t="s">
        <v>447</v>
      </c>
      <c r="C554" s="26">
        <v>140401</v>
      </c>
      <c r="D554" s="26" t="s">
        <v>512</v>
      </c>
      <c r="E554" s="27">
        <v>201880023020</v>
      </c>
      <c r="F554" s="26" t="s">
        <v>508</v>
      </c>
      <c r="G554" s="26" t="s">
        <v>19</v>
      </c>
      <c r="H554" s="26" t="s">
        <v>20</v>
      </c>
      <c r="I554" s="26">
        <v>1</v>
      </c>
      <c r="J554" s="26" t="s">
        <v>21</v>
      </c>
      <c r="K554" s="12" t="s">
        <v>22</v>
      </c>
      <c r="L554" s="13">
        <v>50</v>
      </c>
    </row>
    <row r="555" spans="1:12" s="10" customFormat="1" ht="18" x14ac:dyDescent="0.25">
      <c r="A555" s="11">
        <v>551</v>
      </c>
      <c r="B555" s="26" t="s">
        <v>447</v>
      </c>
      <c r="C555" s="26">
        <v>140401</v>
      </c>
      <c r="D555" s="26" t="s">
        <v>513</v>
      </c>
      <c r="E555" s="27">
        <v>201880023021</v>
      </c>
      <c r="F555" s="26" t="s">
        <v>508</v>
      </c>
      <c r="G555" s="26" t="s">
        <v>19</v>
      </c>
      <c r="H555" s="26" t="s">
        <v>20</v>
      </c>
      <c r="I555" s="26">
        <v>1</v>
      </c>
      <c r="J555" s="26" t="s">
        <v>21</v>
      </c>
      <c r="K555" s="12" t="s">
        <v>22</v>
      </c>
      <c r="L555" s="13">
        <v>50</v>
      </c>
    </row>
    <row r="556" spans="1:12" s="10" customFormat="1" ht="18" x14ac:dyDescent="0.25">
      <c r="A556" s="11">
        <v>552</v>
      </c>
      <c r="B556" s="26" t="s">
        <v>447</v>
      </c>
      <c r="C556" s="26">
        <v>140401</v>
      </c>
      <c r="D556" s="26" t="s">
        <v>514</v>
      </c>
      <c r="E556" s="27">
        <v>201880023022</v>
      </c>
      <c r="F556" s="26" t="s">
        <v>508</v>
      </c>
      <c r="G556" s="26" t="s">
        <v>19</v>
      </c>
      <c r="H556" s="26" t="s">
        <v>20</v>
      </c>
      <c r="I556" s="26">
        <v>1</v>
      </c>
      <c r="J556" s="26" t="s">
        <v>21</v>
      </c>
      <c r="K556" s="12" t="s">
        <v>22</v>
      </c>
      <c r="L556" s="13">
        <v>50</v>
      </c>
    </row>
    <row r="557" spans="1:12" s="10" customFormat="1" ht="18" x14ac:dyDescent="0.25">
      <c r="A557" s="11">
        <v>553</v>
      </c>
      <c r="B557" s="26" t="s">
        <v>447</v>
      </c>
      <c r="C557" s="26">
        <v>140401</v>
      </c>
      <c r="D557" s="26" t="s">
        <v>515</v>
      </c>
      <c r="E557" s="27">
        <v>201880023023</v>
      </c>
      <c r="F557" s="26" t="s">
        <v>508</v>
      </c>
      <c r="G557" s="26" t="s">
        <v>19</v>
      </c>
      <c r="H557" s="26" t="s">
        <v>20</v>
      </c>
      <c r="I557" s="26">
        <v>1</v>
      </c>
      <c r="J557" s="26" t="s">
        <v>21</v>
      </c>
      <c r="K557" s="12" t="s">
        <v>22</v>
      </c>
      <c r="L557" s="13">
        <v>50</v>
      </c>
    </row>
    <row r="558" spans="1:12" s="10" customFormat="1" ht="18" x14ac:dyDescent="0.25">
      <c r="A558" s="11">
        <v>554</v>
      </c>
      <c r="B558" s="26" t="s">
        <v>447</v>
      </c>
      <c r="C558" s="26">
        <v>140401</v>
      </c>
      <c r="D558" s="26" t="s">
        <v>516</v>
      </c>
      <c r="E558" s="27">
        <v>201880023024</v>
      </c>
      <c r="F558" s="26" t="s">
        <v>508</v>
      </c>
      <c r="G558" s="26" t="s">
        <v>19</v>
      </c>
      <c r="H558" s="26" t="s">
        <v>20</v>
      </c>
      <c r="I558" s="26">
        <v>1</v>
      </c>
      <c r="J558" s="26" t="s">
        <v>21</v>
      </c>
      <c r="K558" s="12" t="s">
        <v>22</v>
      </c>
      <c r="L558" s="13">
        <v>50</v>
      </c>
    </row>
    <row r="559" spans="1:12" s="10" customFormat="1" ht="18" x14ac:dyDescent="0.25">
      <c r="A559" s="11">
        <v>555</v>
      </c>
      <c r="B559" s="26" t="s">
        <v>447</v>
      </c>
      <c r="C559" s="26">
        <v>140401</v>
      </c>
      <c r="D559" s="26" t="s">
        <v>517</v>
      </c>
      <c r="E559" s="27">
        <v>201880023025</v>
      </c>
      <c r="F559" s="26" t="s">
        <v>508</v>
      </c>
      <c r="G559" s="26" t="s">
        <v>19</v>
      </c>
      <c r="H559" s="26" t="s">
        <v>20</v>
      </c>
      <c r="I559" s="26">
        <v>1</v>
      </c>
      <c r="J559" s="26" t="s">
        <v>21</v>
      </c>
      <c r="K559" s="12" t="s">
        <v>22</v>
      </c>
      <c r="L559" s="13">
        <v>50</v>
      </c>
    </row>
    <row r="560" spans="1:12" s="10" customFormat="1" ht="18" x14ac:dyDescent="0.25">
      <c r="A560" s="11">
        <v>556</v>
      </c>
      <c r="B560" s="26" t="s">
        <v>447</v>
      </c>
      <c r="C560" s="26">
        <v>140401</v>
      </c>
      <c r="D560" s="26" t="s">
        <v>518</v>
      </c>
      <c r="E560" s="27">
        <v>201880023026</v>
      </c>
      <c r="F560" s="26" t="s">
        <v>508</v>
      </c>
      <c r="G560" s="26" t="s">
        <v>19</v>
      </c>
      <c r="H560" s="26" t="s">
        <v>20</v>
      </c>
      <c r="I560" s="26">
        <v>1</v>
      </c>
      <c r="J560" s="26" t="s">
        <v>21</v>
      </c>
      <c r="K560" s="12" t="s">
        <v>22</v>
      </c>
      <c r="L560" s="13">
        <v>50</v>
      </c>
    </row>
    <row r="561" spans="1:12" s="10" customFormat="1" ht="18" x14ac:dyDescent="0.25">
      <c r="A561" s="11">
        <v>557</v>
      </c>
      <c r="B561" s="26" t="s">
        <v>447</v>
      </c>
      <c r="C561" s="26">
        <v>140401</v>
      </c>
      <c r="D561" s="26" t="s">
        <v>519</v>
      </c>
      <c r="E561" s="27">
        <v>201880023027</v>
      </c>
      <c r="F561" s="26" t="s">
        <v>508</v>
      </c>
      <c r="G561" s="26" t="s">
        <v>19</v>
      </c>
      <c r="H561" s="26" t="s">
        <v>20</v>
      </c>
      <c r="I561" s="26">
        <v>1</v>
      </c>
      <c r="J561" s="26" t="s">
        <v>21</v>
      </c>
      <c r="K561" s="12" t="s">
        <v>22</v>
      </c>
      <c r="L561" s="13">
        <v>50</v>
      </c>
    </row>
    <row r="562" spans="1:12" s="10" customFormat="1" ht="18" x14ac:dyDescent="0.25">
      <c r="A562" s="11">
        <v>558</v>
      </c>
      <c r="B562" s="26" t="s">
        <v>447</v>
      </c>
      <c r="C562" s="26">
        <v>140401</v>
      </c>
      <c r="D562" s="26" t="s">
        <v>520</v>
      </c>
      <c r="E562" s="27">
        <v>201880023028</v>
      </c>
      <c r="F562" s="26" t="s">
        <v>508</v>
      </c>
      <c r="G562" s="26" t="s">
        <v>19</v>
      </c>
      <c r="H562" s="26" t="s">
        <v>20</v>
      </c>
      <c r="I562" s="26">
        <v>1</v>
      </c>
      <c r="J562" s="26" t="s">
        <v>21</v>
      </c>
      <c r="K562" s="12" t="s">
        <v>22</v>
      </c>
      <c r="L562" s="13">
        <v>50</v>
      </c>
    </row>
    <row r="563" spans="1:12" s="10" customFormat="1" ht="18" x14ac:dyDescent="0.25">
      <c r="A563" s="11">
        <v>559</v>
      </c>
      <c r="B563" s="26" t="s">
        <v>447</v>
      </c>
      <c r="C563" s="26">
        <v>140401</v>
      </c>
      <c r="D563" s="26" t="s">
        <v>521</v>
      </c>
      <c r="E563" s="27">
        <v>201880023029</v>
      </c>
      <c r="F563" s="26" t="s">
        <v>508</v>
      </c>
      <c r="G563" s="26" t="s">
        <v>19</v>
      </c>
      <c r="H563" s="26" t="s">
        <v>20</v>
      </c>
      <c r="I563" s="26">
        <v>1</v>
      </c>
      <c r="J563" s="26" t="s">
        <v>21</v>
      </c>
      <c r="K563" s="12" t="s">
        <v>22</v>
      </c>
      <c r="L563" s="13">
        <v>50</v>
      </c>
    </row>
    <row r="564" spans="1:12" s="10" customFormat="1" ht="18" x14ac:dyDescent="0.25">
      <c r="A564" s="11">
        <v>560</v>
      </c>
      <c r="B564" s="26" t="s">
        <v>447</v>
      </c>
      <c r="C564" s="26">
        <v>140401</v>
      </c>
      <c r="D564" s="26" t="s">
        <v>522</v>
      </c>
      <c r="E564" s="27">
        <v>201880024397</v>
      </c>
      <c r="F564" s="26" t="s">
        <v>508</v>
      </c>
      <c r="G564" s="26" t="s">
        <v>19</v>
      </c>
      <c r="H564" s="26" t="s">
        <v>20</v>
      </c>
      <c r="I564" s="26">
        <v>1</v>
      </c>
      <c r="J564" s="26" t="s">
        <v>21</v>
      </c>
      <c r="K564" s="12" t="s">
        <v>22</v>
      </c>
      <c r="L564" s="13">
        <v>50</v>
      </c>
    </row>
    <row r="565" spans="1:12" s="10" customFormat="1" ht="18" x14ac:dyDescent="0.25">
      <c r="A565" s="11">
        <v>561</v>
      </c>
      <c r="B565" s="26" t="s">
        <v>447</v>
      </c>
      <c r="C565" s="26">
        <v>140401</v>
      </c>
      <c r="D565" s="26" t="s">
        <v>523</v>
      </c>
      <c r="E565" s="27">
        <v>201880024398</v>
      </c>
      <c r="F565" s="26" t="s">
        <v>508</v>
      </c>
      <c r="G565" s="26" t="s">
        <v>19</v>
      </c>
      <c r="H565" s="26" t="s">
        <v>20</v>
      </c>
      <c r="I565" s="26">
        <v>1</v>
      </c>
      <c r="J565" s="26" t="s">
        <v>21</v>
      </c>
      <c r="K565" s="12" t="s">
        <v>22</v>
      </c>
      <c r="L565" s="13">
        <v>50</v>
      </c>
    </row>
    <row r="566" spans="1:12" s="10" customFormat="1" ht="18" x14ac:dyDescent="0.25">
      <c r="A566" s="11">
        <v>562</v>
      </c>
      <c r="B566" s="28" t="s">
        <v>524</v>
      </c>
      <c r="C566" s="28" t="str">
        <f t="shared" ref="C566:C629" si="20">"140501"</f>
        <v>140501</v>
      </c>
      <c r="D566" s="28" t="str">
        <f>"14.140501/2024.00829/BC.I."</f>
        <v>14.140501/2024.00829/BC.I.</v>
      </c>
      <c r="E566" s="28" t="str">
        <f>"200580080931"</f>
        <v>200580080931</v>
      </c>
      <c r="F566" s="28" t="str">
        <f t="shared" ref="F566:F622" si="21">"COMPUTADORA/MICROCOMPUTADORA"</f>
        <v>COMPUTADORA/MICROCOMPUTADORA</v>
      </c>
      <c r="G566" s="28" t="s">
        <v>19</v>
      </c>
      <c r="H566" s="28" t="s">
        <v>20</v>
      </c>
      <c r="I566" s="29">
        <v>1</v>
      </c>
      <c r="J566" s="28" t="s">
        <v>21</v>
      </c>
      <c r="K566" s="12" t="s">
        <v>22</v>
      </c>
      <c r="L566" s="13">
        <v>35</v>
      </c>
    </row>
    <row r="567" spans="1:12" s="10" customFormat="1" ht="18" x14ac:dyDescent="0.25">
      <c r="A567" s="11">
        <v>563</v>
      </c>
      <c r="B567" s="28" t="s">
        <v>524</v>
      </c>
      <c r="C567" s="28" t="str">
        <f t="shared" si="20"/>
        <v>140501</v>
      </c>
      <c r="D567" s="28" t="str">
        <f>"14.140501/2024.00810/BC.I."</f>
        <v>14.140501/2024.00810/BC.I.</v>
      </c>
      <c r="E567" s="28" t="str">
        <f>"200580085940"</f>
        <v>200580085940</v>
      </c>
      <c r="F567" s="28" t="str">
        <f t="shared" si="21"/>
        <v>COMPUTADORA/MICROCOMPUTADORA</v>
      </c>
      <c r="G567" s="28" t="s">
        <v>19</v>
      </c>
      <c r="H567" s="28" t="s">
        <v>20</v>
      </c>
      <c r="I567" s="29">
        <v>1</v>
      </c>
      <c r="J567" s="28" t="s">
        <v>21</v>
      </c>
      <c r="K567" s="12" t="s">
        <v>22</v>
      </c>
      <c r="L567" s="13">
        <v>35</v>
      </c>
    </row>
    <row r="568" spans="1:12" s="10" customFormat="1" ht="18" x14ac:dyDescent="0.25">
      <c r="A568" s="11">
        <v>564</v>
      </c>
      <c r="B568" s="28" t="s">
        <v>524</v>
      </c>
      <c r="C568" s="28" t="str">
        <f t="shared" si="20"/>
        <v>140501</v>
      </c>
      <c r="D568" s="28" t="str">
        <f>"14.140501/2024.00850/BC.I."</f>
        <v>14.140501/2024.00850/BC.I.</v>
      </c>
      <c r="E568" s="28" t="str">
        <f>"200580085994"</f>
        <v>200580085994</v>
      </c>
      <c r="F568" s="28" t="str">
        <f t="shared" si="21"/>
        <v>COMPUTADORA/MICROCOMPUTADORA</v>
      </c>
      <c r="G568" s="28" t="s">
        <v>19</v>
      </c>
      <c r="H568" s="28" t="s">
        <v>20</v>
      </c>
      <c r="I568" s="29">
        <v>1</v>
      </c>
      <c r="J568" s="28" t="s">
        <v>21</v>
      </c>
      <c r="K568" s="12" t="s">
        <v>22</v>
      </c>
      <c r="L568" s="13">
        <v>35</v>
      </c>
    </row>
    <row r="569" spans="1:12" s="10" customFormat="1" ht="18" x14ac:dyDescent="0.25">
      <c r="A569" s="11">
        <v>565</v>
      </c>
      <c r="B569" s="28" t="s">
        <v>524</v>
      </c>
      <c r="C569" s="28" t="str">
        <f t="shared" si="20"/>
        <v>140501</v>
      </c>
      <c r="D569" s="28" t="str">
        <f>"14.140501/2024.00802/BC.I."</f>
        <v>14.140501/2024.00802/BC.I.</v>
      </c>
      <c r="E569" s="28" t="str">
        <f>"200580086344"</f>
        <v>200580086344</v>
      </c>
      <c r="F569" s="28" t="str">
        <f t="shared" si="21"/>
        <v>COMPUTADORA/MICROCOMPUTADORA</v>
      </c>
      <c r="G569" s="28" t="s">
        <v>19</v>
      </c>
      <c r="H569" s="28" t="s">
        <v>20</v>
      </c>
      <c r="I569" s="29">
        <v>1</v>
      </c>
      <c r="J569" s="28" t="s">
        <v>21</v>
      </c>
      <c r="K569" s="12" t="s">
        <v>22</v>
      </c>
      <c r="L569" s="13">
        <v>35</v>
      </c>
    </row>
    <row r="570" spans="1:12" s="10" customFormat="1" ht="18" x14ac:dyDescent="0.25">
      <c r="A570" s="11">
        <v>566</v>
      </c>
      <c r="B570" s="28" t="s">
        <v>524</v>
      </c>
      <c r="C570" s="28" t="str">
        <f t="shared" si="20"/>
        <v>140501</v>
      </c>
      <c r="D570" s="28" t="str">
        <f>"14.140501/2024.00820/BC.I."</f>
        <v>14.140501/2024.00820/BC.I.</v>
      </c>
      <c r="E570" s="28" t="str">
        <f>"200580086348"</f>
        <v>200580086348</v>
      </c>
      <c r="F570" s="28" t="str">
        <f t="shared" si="21"/>
        <v>COMPUTADORA/MICROCOMPUTADORA</v>
      </c>
      <c r="G570" s="28" t="s">
        <v>19</v>
      </c>
      <c r="H570" s="28" t="s">
        <v>20</v>
      </c>
      <c r="I570" s="29">
        <v>1</v>
      </c>
      <c r="J570" s="28" t="s">
        <v>21</v>
      </c>
      <c r="K570" s="12" t="s">
        <v>22</v>
      </c>
      <c r="L570" s="13">
        <v>35</v>
      </c>
    </row>
    <row r="571" spans="1:12" s="10" customFormat="1" ht="18" x14ac:dyDescent="0.25">
      <c r="A571" s="11">
        <v>567</v>
      </c>
      <c r="B571" s="28" t="s">
        <v>524</v>
      </c>
      <c r="C571" s="28" t="str">
        <f t="shared" si="20"/>
        <v>140501</v>
      </c>
      <c r="D571" s="28" t="str">
        <f>"14.140501/2024.00855/BC.I."</f>
        <v>14.140501/2024.00855/BC.I.</v>
      </c>
      <c r="E571" s="28" t="str">
        <f>"200580086370"</f>
        <v>200580086370</v>
      </c>
      <c r="F571" s="28" t="str">
        <f t="shared" si="21"/>
        <v>COMPUTADORA/MICROCOMPUTADORA</v>
      </c>
      <c r="G571" s="28" t="s">
        <v>19</v>
      </c>
      <c r="H571" s="28" t="s">
        <v>20</v>
      </c>
      <c r="I571" s="29">
        <v>1</v>
      </c>
      <c r="J571" s="28" t="s">
        <v>21</v>
      </c>
      <c r="K571" s="12" t="s">
        <v>22</v>
      </c>
      <c r="L571" s="13">
        <v>35</v>
      </c>
    </row>
    <row r="572" spans="1:12" s="10" customFormat="1" ht="18" x14ac:dyDescent="0.25">
      <c r="A572" s="11">
        <v>568</v>
      </c>
      <c r="B572" s="28" t="s">
        <v>524</v>
      </c>
      <c r="C572" s="28" t="str">
        <f t="shared" si="20"/>
        <v>140501</v>
      </c>
      <c r="D572" s="28" t="str">
        <f>"14.140501/2024.00848/BC.I."</f>
        <v>14.140501/2024.00848/BC.I.</v>
      </c>
      <c r="E572" s="28" t="str">
        <f>"200580086389"</f>
        <v>200580086389</v>
      </c>
      <c r="F572" s="28" t="str">
        <f t="shared" si="21"/>
        <v>COMPUTADORA/MICROCOMPUTADORA</v>
      </c>
      <c r="G572" s="28" t="s">
        <v>19</v>
      </c>
      <c r="H572" s="28" t="s">
        <v>20</v>
      </c>
      <c r="I572" s="29">
        <v>1</v>
      </c>
      <c r="J572" s="28" t="s">
        <v>21</v>
      </c>
      <c r="K572" s="12" t="s">
        <v>22</v>
      </c>
      <c r="L572" s="13">
        <v>35</v>
      </c>
    </row>
    <row r="573" spans="1:12" s="10" customFormat="1" ht="18" x14ac:dyDescent="0.25">
      <c r="A573" s="11">
        <v>569</v>
      </c>
      <c r="B573" s="28" t="s">
        <v>524</v>
      </c>
      <c r="C573" s="28" t="str">
        <f t="shared" si="20"/>
        <v>140501</v>
      </c>
      <c r="D573" s="28" t="str">
        <f>"14.140501/2024.00775/BC.I."</f>
        <v>14.140501/2024.00775/BC.I.</v>
      </c>
      <c r="E573" s="28" t="str">
        <f>"200580086579"</f>
        <v>200580086579</v>
      </c>
      <c r="F573" s="28" t="str">
        <f t="shared" si="21"/>
        <v>COMPUTADORA/MICROCOMPUTADORA</v>
      </c>
      <c r="G573" s="28" t="s">
        <v>19</v>
      </c>
      <c r="H573" s="28" t="s">
        <v>20</v>
      </c>
      <c r="I573" s="29">
        <v>1</v>
      </c>
      <c r="J573" s="28" t="s">
        <v>21</v>
      </c>
      <c r="K573" s="12" t="s">
        <v>22</v>
      </c>
      <c r="L573" s="13">
        <v>35</v>
      </c>
    </row>
    <row r="574" spans="1:12" s="10" customFormat="1" ht="18" x14ac:dyDescent="0.25">
      <c r="A574" s="11">
        <v>570</v>
      </c>
      <c r="B574" s="28" t="s">
        <v>524</v>
      </c>
      <c r="C574" s="28" t="str">
        <f t="shared" si="20"/>
        <v>140501</v>
      </c>
      <c r="D574" s="28" t="str">
        <f>"14.140501/2024.00856/BC.I."</f>
        <v>14.140501/2024.00856/BC.I.</v>
      </c>
      <c r="E574" s="28" t="str">
        <f>"200680002578"</f>
        <v>200680002578</v>
      </c>
      <c r="F574" s="28" t="str">
        <f t="shared" si="21"/>
        <v>COMPUTADORA/MICROCOMPUTADORA</v>
      </c>
      <c r="G574" s="28" t="s">
        <v>19</v>
      </c>
      <c r="H574" s="28" t="s">
        <v>20</v>
      </c>
      <c r="I574" s="29">
        <v>1</v>
      </c>
      <c r="J574" s="28" t="s">
        <v>21</v>
      </c>
      <c r="K574" s="12" t="s">
        <v>22</v>
      </c>
      <c r="L574" s="13">
        <v>35</v>
      </c>
    </row>
    <row r="575" spans="1:12" s="10" customFormat="1" ht="18" x14ac:dyDescent="0.25">
      <c r="A575" s="11">
        <v>571</v>
      </c>
      <c r="B575" s="28" t="s">
        <v>524</v>
      </c>
      <c r="C575" s="28" t="str">
        <f t="shared" si="20"/>
        <v>140501</v>
      </c>
      <c r="D575" s="28" t="str">
        <f>"14.140501/2024.00854/BC.I."</f>
        <v>14.140501/2024.00854/BC.I.</v>
      </c>
      <c r="E575" s="28" t="str">
        <f>"200880051085"</f>
        <v>200880051085</v>
      </c>
      <c r="F575" s="28" t="str">
        <f t="shared" si="21"/>
        <v>COMPUTADORA/MICROCOMPUTADORA</v>
      </c>
      <c r="G575" s="28" t="s">
        <v>19</v>
      </c>
      <c r="H575" s="28" t="s">
        <v>20</v>
      </c>
      <c r="I575" s="29">
        <v>1</v>
      </c>
      <c r="J575" s="28" t="s">
        <v>21</v>
      </c>
      <c r="K575" s="12" t="s">
        <v>22</v>
      </c>
      <c r="L575" s="13">
        <v>35</v>
      </c>
    </row>
    <row r="576" spans="1:12" s="10" customFormat="1" ht="18" x14ac:dyDescent="0.25">
      <c r="A576" s="11">
        <v>572</v>
      </c>
      <c r="B576" s="28" t="s">
        <v>524</v>
      </c>
      <c r="C576" s="28" t="str">
        <f t="shared" si="20"/>
        <v>140501</v>
      </c>
      <c r="D576" s="28" t="str">
        <f>"14.140501/2024.00803/BC.I."</f>
        <v>14.140501/2024.00803/BC.I.</v>
      </c>
      <c r="E576" s="28" t="str">
        <f>"200880051675"</f>
        <v>200880051675</v>
      </c>
      <c r="F576" s="28" t="str">
        <f t="shared" si="21"/>
        <v>COMPUTADORA/MICROCOMPUTADORA</v>
      </c>
      <c r="G576" s="28" t="s">
        <v>19</v>
      </c>
      <c r="H576" s="28" t="s">
        <v>20</v>
      </c>
      <c r="I576" s="29">
        <v>1</v>
      </c>
      <c r="J576" s="28" t="s">
        <v>21</v>
      </c>
      <c r="K576" s="12" t="s">
        <v>22</v>
      </c>
      <c r="L576" s="13">
        <v>35</v>
      </c>
    </row>
    <row r="577" spans="1:12" s="10" customFormat="1" ht="18" x14ac:dyDescent="0.25">
      <c r="A577" s="11">
        <v>573</v>
      </c>
      <c r="B577" s="28" t="s">
        <v>524</v>
      </c>
      <c r="C577" s="28" t="str">
        <f t="shared" si="20"/>
        <v>140501</v>
      </c>
      <c r="D577" s="28" t="str">
        <f>"14.140501/2024.00763/BC.I."</f>
        <v>14.140501/2024.00763/BC.I.</v>
      </c>
      <c r="E577" s="28" t="str">
        <f>"201080026094"</f>
        <v>201080026094</v>
      </c>
      <c r="F577" s="28" t="str">
        <f t="shared" si="21"/>
        <v>COMPUTADORA/MICROCOMPUTADORA</v>
      </c>
      <c r="G577" s="28" t="s">
        <v>19</v>
      </c>
      <c r="H577" s="28" t="s">
        <v>20</v>
      </c>
      <c r="I577" s="29">
        <v>1</v>
      </c>
      <c r="J577" s="28" t="s">
        <v>21</v>
      </c>
      <c r="K577" s="12" t="s">
        <v>22</v>
      </c>
      <c r="L577" s="13">
        <v>35</v>
      </c>
    </row>
    <row r="578" spans="1:12" s="10" customFormat="1" ht="18" x14ac:dyDescent="0.25">
      <c r="A578" s="11">
        <v>574</v>
      </c>
      <c r="B578" s="28" t="s">
        <v>524</v>
      </c>
      <c r="C578" s="28" t="str">
        <f t="shared" si="20"/>
        <v>140501</v>
      </c>
      <c r="D578" s="28" t="str">
        <f>"14.140501/2024.00766/BC.I."</f>
        <v>14.140501/2024.00766/BC.I.</v>
      </c>
      <c r="E578" s="28" t="str">
        <f>"201080026471"</f>
        <v>201080026471</v>
      </c>
      <c r="F578" s="28" t="str">
        <f t="shared" si="21"/>
        <v>COMPUTADORA/MICROCOMPUTADORA</v>
      </c>
      <c r="G578" s="28" t="s">
        <v>19</v>
      </c>
      <c r="H578" s="28" t="s">
        <v>20</v>
      </c>
      <c r="I578" s="29">
        <v>1</v>
      </c>
      <c r="J578" s="28" t="s">
        <v>21</v>
      </c>
      <c r="K578" s="12" t="s">
        <v>22</v>
      </c>
      <c r="L578" s="13">
        <v>35</v>
      </c>
    </row>
    <row r="579" spans="1:12" s="10" customFormat="1" ht="18" x14ac:dyDescent="0.25">
      <c r="A579" s="11">
        <v>575</v>
      </c>
      <c r="B579" s="28" t="s">
        <v>524</v>
      </c>
      <c r="C579" s="28" t="str">
        <f t="shared" si="20"/>
        <v>140501</v>
      </c>
      <c r="D579" s="28" t="str">
        <f>"14.140501/2024.00806/BC.I."</f>
        <v>14.140501/2024.00806/BC.I.</v>
      </c>
      <c r="E579" s="28" t="str">
        <f>"201080026472"</f>
        <v>201080026472</v>
      </c>
      <c r="F579" s="28" t="str">
        <f t="shared" si="21"/>
        <v>COMPUTADORA/MICROCOMPUTADORA</v>
      </c>
      <c r="G579" s="28" t="s">
        <v>19</v>
      </c>
      <c r="H579" s="28" t="s">
        <v>20</v>
      </c>
      <c r="I579" s="29">
        <v>1</v>
      </c>
      <c r="J579" s="28" t="s">
        <v>21</v>
      </c>
      <c r="K579" s="12" t="s">
        <v>22</v>
      </c>
      <c r="L579" s="13">
        <v>35</v>
      </c>
    </row>
    <row r="580" spans="1:12" s="10" customFormat="1" ht="18" x14ac:dyDescent="0.25">
      <c r="A580" s="11">
        <v>576</v>
      </c>
      <c r="B580" s="28" t="s">
        <v>524</v>
      </c>
      <c r="C580" s="28" t="str">
        <f t="shared" si="20"/>
        <v>140501</v>
      </c>
      <c r="D580" s="28" t="str">
        <f>"14.140501/2024.00801/BC.I."</f>
        <v>14.140501/2024.00801/BC.I.</v>
      </c>
      <c r="E580" s="28" t="str">
        <f>"201080026482"</f>
        <v>201080026482</v>
      </c>
      <c r="F580" s="28" t="str">
        <f t="shared" si="21"/>
        <v>COMPUTADORA/MICROCOMPUTADORA</v>
      </c>
      <c r="G580" s="28" t="s">
        <v>19</v>
      </c>
      <c r="H580" s="28" t="s">
        <v>20</v>
      </c>
      <c r="I580" s="29">
        <v>1</v>
      </c>
      <c r="J580" s="28" t="s">
        <v>21</v>
      </c>
      <c r="K580" s="12" t="s">
        <v>22</v>
      </c>
      <c r="L580" s="13">
        <v>35</v>
      </c>
    </row>
    <row r="581" spans="1:12" s="10" customFormat="1" ht="18" x14ac:dyDescent="0.25">
      <c r="A581" s="11">
        <v>577</v>
      </c>
      <c r="B581" s="28" t="s">
        <v>524</v>
      </c>
      <c r="C581" s="28" t="str">
        <f t="shared" si="20"/>
        <v>140501</v>
      </c>
      <c r="D581" s="28" t="str">
        <f>"14.140501/2024.00795/BC.I."</f>
        <v>14.140501/2024.00795/BC.I.</v>
      </c>
      <c r="E581" s="28" t="str">
        <f>"201080026500"</f>
        <v>201080026500</v>
      </c>
      <c r="F581" s="28" t="str">
        <f t="shared" si="21"/>
        <v>COMPUTADORA/MICROCOMPUTADORA</v>
      </c>
      <c r="G581" s="28" t="s">
        <v>19</v>
      </c>
      <c r="H581" s="28" t="s">
        <v>20</v>
      </c>
      <c r="I581" s="29">
        <v>1</v>
      </c>
      <c r="J581" s="28" t="s">
        <v>21</v>
      </c>
      <c r="K581" s="12" t="s">
        <v>22</v>
      </c>
      <c r="L581" s="13">
        <v>35</v>
      </c>
    </row>
    <row r="582" spans="1:12" s="10" customFormat="1" ht="18" x14ac:dyDescent="0.25">
      <c r="A582" s="11">
        <v>578</v>
      </c>
      <c r="B582" s="28" t="s">
        <v>524</v>
      </c>
      <c r="C582" s="28" t="str">
        <f t="shared" si="20"/>
        <v>140501</v>
      </c>
      <c r="D582" s="28" t="str">
        <f>"14.140501/2024.00796/BC.I."</f>
        <v>14.140501/2024.00796/BC.I.</v>
      </c>
      <c r="E582" s="28" t="str">
        <f>"201080026507"</f>
        <v>201080026507</v>
      </c>
      <c r="F582" s="28" t="str">
        <f t="shared" si="21"/>
        <v>COMPUTADORA/MICROCOMPUTADORA</v>
      </c>
      <c r="G582" s="28" t="s">
        <v>19</v>
      </c>
      <c r="H582" s="28" t="s">
        <v>20</v>
      </c>
      <c r="I582" s="29">
        <v>1</v>
      </c>
      <c r="J582" s="28" t="s">
        <v>21</v>
      </c>
      <c r="K582" s="12" t="s">
        <v>22</v>
      </c>
      <c r="L582" s="13">
        <v>35</v>
      </c>
    </row>
    <row r="583" spans="1:12" s="10" customFormat="1" ht="18" x14ac:dyDescent="0.25">
      <c r="A583" s="11">
        <v>579</v>
      </c>
      <c r="B583" s="28" t="s">
        <v>524</v>
      </c>
      <c r="C583" s="28" t="str">
        <f t="shared" si="20"/>
        <v>140501</v>
      </c>
      <c r="D583" s="28" t="str">
        <f>"14.140501/2024.00828/BC.I."</f>
        <v>14.140501/2024.00828/BC.I.</v>
      </c>
      <c r="E583" s="28" t="str">
        <f>"201080026713"</f>
        <v>201080026713</v>
      </c>
      <c r="F583" s="28" t="str">
        <f t="shared" si="21"/>
        <v>COMPUTADORA/MICROCOMPUTADORA</v>
      </c>
      <c r="G583" s="28" t="s">
        <v>19</v>
      </c>
      <c r="H583" s="28" t="s">
        <v>20</v>
      </c>
      <c r="I583" s="29">
        <v>1</v>
      </c>
      <c r="J583" s="28" t="s">
        <v>21</v>
      </c>
      <c r="K583" s="12" t="s">
        <v>22</v>
      </c>
      <c r="L583" s="13">
        <v>35</v>
      </c>
    </row>
    <row r="584" spans="1:12" s="10" customFormat="1" ht="18" x14ac:dyDescent="0.25">
      <c r="A584" s="11">
        <v>580</v>
      </c>
      <c r="B584" s="28" t="s">
        <v>524</v>
      </c>
      <c r="C584" s="28" t="str">
        <f t="shared" si="20"/>
        <v>140501</v>
      </c>
      <c r="D584" s="28" t="str">
        <f>"14.140501/2024.00822/BC.I."</f>
        <v>14.140501/2024.00822/BC.I.</v>
      </c>
      <c r="E584" s="28" t="str">
        <f>"201080026728"</f>
        <v>201080026728</v>
      </c>
      <c r="F584" s="28" t="str">
        <f t="shared" si="21"/>
        <v>COMPUTADORA/MICROCOMPUTADORA</v>
      </c>
      <c r="G584" s="28" t="s">
        <v>19</v>
      </c>
      <c r="H584" s="28" t="s">
        <v>20</v>
      </c>
      <c r="I584" s="29">
        <v>1</v>
      </c>
      <c r="J584" s="28" t="s">
        <v>21</v>
      </c>
      <c r="K584" s="12" t="s">
        <v>22</v>
      </c>
      <c r="L584" s="13">
        <v>35</v>
      </c>
    </row>
    <row r="585" spans="1:12" s="10" customFormat="1" ht="18" x14ac:dyDescent="0.25">
      <c r="A585" s="11">
        <v>581</v>
      </c>
      <c r="B585" s="28" t="s">
        <v>524</v>
      </c>
      <c r="C585" s="28" t="str">
        <f t="shared" si="20"/>
        <v>140501</v>
      </c>
      <c r="D585" s="28" t="str">
        <f>"14.140501/2024.00794/BC.I."</f>
        <v>14.140501/2024.00794/BC.I.</v>
      </c>
      <c r="E585" s="28" t="str">
        <f>"201080026858"</f>
        <v>201080026858</v>
      </c>
      <c r="F585" s="28" t="str">
        <f t="shared" si="21"/>
        <v>COMPUTADORA/MICROCOMPUTADORA</v>
      </c>
      <c r="G585" s="28" t="s">
        <v>19</v>
      </c>
      <c r="H585" s="28" t="s">
        <v>20</v>
      </c>
      <c r="I585" s="29">
        <v>1</v>
      </c>
      <c r="J585" s="28" t="s">
        <v>21</v>
      </c>
      <c r="K585" s="12" t="s">
        <v>22</v>
      </c>
      <c r="L585" s="13">
        <v>35</v>
      </c>
    </row>
    <row r="586" spans="1:12" s="10" customFormat="1" ht="18" x14ac:dyDescent="0.25">
      <c r="A586" s="11">
        <v>582</v>
      </c>
      <c r="B586" s="28" t="s">
        <v>524</v>
      </c>
      <c r="C586" s="28" t="str">
        <f t="shared" si="20"/>
        <v>140501</v>
      </c>
      <c r="D586" s="28" t="str">
        <f>"14.140501/2024.00811/BC.I."</f>
        <v>14.140501/2024.00811/BC.I.</v>
      </c>
      <c r="E586" s="28" t="str">
        <f>"201080026867"</f>
        <v>201080026867</v>
      </c>
      <c r="F586" s="28" t="str">
        <f t="shared" si="21"/>
        <v>COMPUTADORA/MICROCOMPUTADORA</v>
      </c>
      <c r="G586" s="28" t="s">
        <v>19</v>
      </c>
      <c r="H586" s="28" t="s">
        <v>20</v>
      </c>
      <c r="I586" s="29">
        <v>1</v>
      </c>
      <c r="J586" s="28" t="s">
        <v>21</v>
      </c>
      <c r="K586" s="12" t="s">
        <v>22</v>
      </c>
      <c r="L586" s="13">
        <v>35</v>
      </c>
    </row>
    <row r="587" spans="1:12" s="10" customFormat="1" ht="18" x14ac:dyDescent="0.25">
      <c r="A587" s="11">
        <v>583</v>
      </c>
      <c r="B587" s="28" t="s">
        <v>524</v>
      </c>
      <c r="C587" s="28" t="str">
        <f t="shared" si="20"/>
        <v>140501</v>
      </c>
      <c r="D587" s="28" t="str">
        <f>"14.140501/2024.00764/BC.I."</f>
        <v>14.140501/2024.00764/BC.I.</v>
      </c>
      <c r="E587" s="28" t="str">
        <f>"201080026986"</f>
        <v>201080026986</v>
      </c>
      <c r="F587" s="28" t="str">
        <f t="shared" si="21"/>
        <v>COMPUTADORA/MICROCOMPUTADORA</v>
      </c>
      <c r="G587" s="28" t="s">
        <v>19</v>
      </c>
      <c r="H587" s="28" t="s">
        <v>20</v>
      </c>
      <c r="I587" s="29">
        <v>1</v>
      </c>
      <c r="J587" s="28" t="s">
        <v>21</v>
      </c>
      <c r="K587" s="12" t="s">
        <v>22</v>
      </c>
      <c r="L587" s="13">
        <v>35</v>
      </c>
    </row>
    <row r="588" spans="1:12" s="10" customFormat="1" ht="18" x14ac:dyDescent="0.25">
      <c r="A588" s="11">
        <v>584</v>
      </c>
      <c r="B588" s="28" t="s">
        <v>524</v>
      </c>
      <c r="C588" s="28" t="str">
        <f t="shared" si="20"/>
        <v>140501</v>
      </c>
      <c r="D588" s="28" t="str">
        <f>"14.140501/2024.00767/BC.I."</f>
        <v>14.140501/2024.00767/BC.I.</v>
      </c>
      <c r="E588" s="28" t="str">
        <f>"201080027003"</f>
        <v>201080027003</v>
      </c>
      <c r="F588" s="28" t="str">
        <f t="shared" si="21"/>
        <v>COMPUTADORA/MICROCOMPUTADORA</v>
      </c>
      <c r="G588" s="28" t="s">
        <v>19</v>
      </c>
      <c r="H588" s="28" t="s">
        <v>20</v>
      </c>
      <c r="I588" s="29">
        <v>1</v>
      </c>
      <c r="J588" s="28" t="s">
        <v>21</v>
      </c>
      <c r="K588" s="12" t="s">
        <v>22</v>
      </c>
      <c r="L588" s="13">
        <v>35</v>
      </c>
    </row>
    <row r="589" spans="1:12" s="10" customFormat="1" ht="18" x14ac:dyDescent="0.25">
      <c r="A589" s="11">
        <v>585</v>
      </c>
      <c r="B589" s="28" t="s">
        <v>524</v>
      </c>
      <c r="C589" s="28" t="str">
        <f t="shared" si="20"/>
        <v>140501</v>
      </c>
      <c r="D589" s="28" t="str">
        <f>"14.140501/2024.00768/BC.I."</f>
        <v>14.140501/2024.00768/BC.I.</v>
      </c>
      <c r="E589" s="28" t="str">
        <f>"201080027035"</f>
        <v>201080027035</v>
      </c>
      <c r="F589" s="28" t="str">
        <f t="shared" si="21"/>
        <v>COMPUTADORA/MICROCOMPUTADORA</v>
      </c>
      <c r="G589" s="28" t="s">
        <v>19</v>
      </c>
      <c r="H589" s="28" t="s">
        <v>20</v>
      </c>
      <c r="I589" s="29">
        <v>1</v>
      </c>
      <c r="J589" s="28" t="s">
        <v>21</v>
      </c>
      <c r="K589" s="12" t="s">
        <v>22</v>
      </c>
      <c r="L589" s="13">
        <v>35</v>
      </c>
    </row>
    <row r="590" spans="1:12" s="10" customFormat="1" ht="18" x14ac:dyDescent="0.25">
      <c r="A590" s="11">
        <v>586</v>
      </c>
      <c r="B590" s="28" t="s">
        <v>524</v>
      </c>
      <c r="C590" s="28" t="str">
        <f t="shared" si="20"/>
        <v>140501</v>
      </c>
      <c r="D590" s="28" t="str">
        <f>"14.140501/2024.00769/BC.I."</f>
        <v>14.140501/2024.00769/BC.I.</v>
      </c>
      <c r="E590" s="28" t="str">
        <f>"201080027114"</f>
        <v>201080027114</v>
      </c>
      <c r="F590" s="28" t="str">
        <f t="shared" si="21"/>
        <v>COMPUTADORA/MICROCOMPUTADORA</v>
      </c>
      <c r="G590" s="28" t="s">
        <v>19</v>
      </c>
      <c r="H590" s="28" t="s">
        <v>20</v>
      </c>
      <c r="I590" s="29">
        <v>1</v>
      </c>
      <c r="J590" s="28" t="s">
        <v>21</v>
      </c>
      <c r="K590" s="12" t="s">
        <v>22</v>
      </c>
      <c r="L590" s="13">
        <v>35</v>
      </c>
    </row>
    <row r="591" spans="1:12" s="10" customFormat="1" ht="18" x14ac:dyDescent="0.25">
      <c r="A591" s="11">
        <v>587</v>
      </c>
      <c r="B591" s="28" t="s">
        <v>524</v>
      </c>
      <c r="C591" s="28" t="str">
        <f t="shared" si="20"/>
        <v>140501</v>
      </c>
      <c r="D591" s="28" t="str">
        <f>"14.140501/2024.00770/BC.I."</f>
        <v>14.140501/2024.00770/BC.I.</v>
      </c>
      <c r="E591" s="28" t="str">
        <f>"201080027126"</f>
        <v>201080027126</v>
      </c>
      <c r="F591" s="28" t="str">
        <f t="shared" si="21"/>
        <v>COMPUTADORA/MICROCOMPUTADORA</v>
      </c>
      <c r="G591" s="28" t="s">
        <v>19</v>
      </c>
      <c r="H591" s="28" t="s">
        <v>20</v>
      </c>
      <c r="I591" s="29">
        <v>1</v>
      </c>
      <c r="J591" s="28" t="s">
        <v>21</v>
      </c>
      <c r="K591" s="12" t="s">
        <v>22</v>
      </c>
      <c r="L591" s="13">
        <v>35</v>
      </c>
    </row>
    <row r="592" spans="1:12" s="10" customFormat="1" ht="18" x14ac:dyDescent="0.25">
      <c r="A592" s="11">
        <v>588</v>
      </c>
      <c r="B592" s="28" t="s">
        <v>524</v>
      </c>
      <c r="C592" s="28" t="str">
        <f t="shared" si="20"/>
        <v>140501</v>
      </c>
      <c r="D592" s="28" t="str">
        <f>"14.140501/2024.00812/BC.I."</f>
        <v>14.140501/2024.00812/BC.I.</v>
      </c>
      <c r="E592" s="28" t="str">
        <f>"201080027128"</f>
        <v>201080027128</v>
      </c>
      <c r="F592" s="28" t="str">
        <f t="shared" si="21"/>
        <v>COMPUTADORA/MICROCOMPUTADORA</v>
      </c>
      <c r="G592" s="28" t="s">
        <v>19</v>
      </c>
      <c r="H592" s="28" t="s">
        <v>20</v>
      </c>
      <c r="I592" s="29">
        <v>1</v>
      </c>
      <c r="J592" s="28" t="s">
        <v>21</v>
      </c>
      <c r="K592" s="12" t="s">
        <v>22</v>
      </c>
      <c r="L592" s="13">
        <v>35</v>
      </c>
    </row>
    <row r="593" spans="1:12" s="10" customFormat="1" ht="18" x14ac:dyDescent="0.25">
      <c r="A593" s="11">
        <v>589</v>
      </c>
      <c r="B593" s="28" t="s">
        <v>524</v>
      </c>
      <c r="C593" s="28" t="str">
        <f t="shared" si="20"/>
        <v>140501</v>
      </c>
      <c r="D593" s="28" t="str">
        <f>"14.140501/2024.00761/BC.I."</f>
        <v>14.140501/2024.00761/BC.I.</v>
      </c>
      <c r="E593" s="28" t="str">
        <f>"201080027147"</f>
        <v>201080027147</v>
      </c>
      <c r="F593" s="28" t="str">
        <f t="shared" si="21"/>
        <v>COMPUTADORA/MICROCOMPUTADORA</v>
      </c>
      <c r="G593" s="28" t="s">
        <v>19</v>
      </c>
      <c r="H593" s="28" t="s">
        <v>20</v>
      </c>
      <c r="I593" s="29">
        <v>1</v>
      </c>
      <c r="J593" s="28" t="s">
        <v>21</v>
      </c>
      <c r="K593" s="12" t="s">
        <v>22</v>
      </c>
      <c r="L593" s="13">
        <v>35</v>
      </c>
    </row>
    <row r="594" spans="1:12" s="10" customFormat="1" ht="18" x14ac:dyDescent="0.25">
      <c r="A594" s="11">
        <v>590</v>
      </c>
      <c r="B594" s="28" t="s">
        <v>524</v>
      </c>
      <c r="C594" s="28" t="str">
        <f t="shared" si="20"/>
        <v>140501</v>
      </c>
      <c r="D594" s="28" t="str">
        <f>"14.140501/2024.00851/BC.I."</f>
        <v>14.140501/2024.00851/BC.I.</v>
      </c>
      <c r="E594" s="28" t="str">
        <f>"201080027149"</f>
        <v>201080027149</v>
      </c>
      <c r="F594" s="28" t="str">
        <f t="shared" si="21"/>
        <v>COMPUTADORA/MICROCOMPUTADORA</v>
      </c>
      <c r="G594" s="28" t="s">
        <v>19</v>
      </c>
      <c r="H594" s="28" t="s">
        <v>20</v>
      </c>
      <c r="I594" s="29">
        <v>1</v>
      </c>
      <c r="J594" s="28" t="s">
        <v>21</v>
      </c>
      <c r="K594" s="12" t="s">
        <v>22</v>
      </c>
      <c r="L594" s="13">
        <v>35</v>
      </c>
    </row>
    <row r="595" spans="1:12" s="10" customFormat="1" ht="18" x14ac:dyDescent="0.25">
      <c r="A595" s="11">
        <v>591</v>
      </c>
      <c r="B595" s="28" t="s">
        <v>524</v>
      </c>
      <c r="C595" s="28" t="str">
        <f t="shared" si="20"/>
        <v>140501</v>
      </c>
      <c r="D595" s="28" t="str">
        <f>"14.140501/2024.00853/BC.I."</f>
        <v>14.140501/2024.00853/BC.I.</v>
      </c>
      <c r="E595" s="28" t="str">
        <f>"201080027380"</f>
        <v>201080027380</v>
      </c>
      <c r="F595" s="28" t="str">
        <f t="shared" si="21"/>
        <v>COMPUTADORA/MICROCOMPUTADORA</v>
      </c>
      <c r="G595" s="28" t="s">
        <v>19</v>
      </c>
      <c r="H595" s="28" t="s">
        <v>20</v>
      </c>
      <c r="I595" s="29">
        <v>1</v>
      </c>
      <c r="J595" s="28" t="s">
        <v>21</v>
      </c>
      <c r="K595" s="12" t="s">
        <v>22</v>
      </c>
      <c r="L595" s="13">
        <v>35</v>
      </c>
    </row>
    <row r="596" spans="1:12" s="10" customFormat="1" ht="18" x14ac:dyDescent="0.25">
      <c r="A596" s="11">
        <v>592</v>
      </c>
      <c r="B596" s="28" t="s">
        <v>524</v>
      </c>
      <c r="C596" s="28" t="str">
        <f t="shared" si="20"/>
        <v>140501</v>
      </c>
      <c r="D596" s="28" t="str">
        <f>"14.140501/2024.00835/BC.I."</f>
        <v>14.140501/2024.00835/BC.I.</v>
      </c>
      <c r="E596" s="28" t="str">
        <f>"201080027589"</f>
        <v>201080027589</v>
      </c>
      <c r="F596" s="28" t="str">
        <f t="shared" si="21"/>
        <v>COMPUTADORA/MICROCOMPUTADORA</v>
      </c>
      <c r="G596" s="28" t="s">
        <v>19</v>
      </c>
      <c r="H596" s="28" t="s">
        <v>20</v>
      </c>
      <c r="I596" s="29">
        <v>1</v>
      </c>
      <c r="J596" s="28" t="s">
        <v>21</v>
      </c>
      <c r="K596" s="12" t="s">
        <v>22</v>
      </c>
      <c r="L596" s="13">
        <v>35</v>
      </c>
    </row>
    <row r="597" spans="1:12" s="10" customFormat="1" ht="18" x14ac:dyDescent="0.25">
      <c r="A597" s="11">
        <v>593</v>
      </c>
      <c r="B597" s="28" t="s">
        <v>524</v>
      </c>
      <c r="C597" s="28" t="str">
        <f t="shared" si="20"/>
        <v>140501</v>
      </c>
      <c r="D597" s="28" t="str">
        <f>"14.140501/2024.00849/BC.I."</f>
        <v>14.140501/2024.00849/BC.I.</v>
      </c>
      <c r="E597" s="28" t="str">
        <f>"201080027712"</f>
        <v>201080027712</v>
      </c>
      <c r="F597" s="28" t="str">
        <f t="shared" si="21"/>
        <v>COMPUTADORA/MICROCOMPUTADORA</v>
      </c>
      <c r="G597" s="28" t="s">
        <v>19</v>
      </c>
      <c r="H597" s="28" t="s">
        <v>20</v>
      </c>
      <c r="I597" s="29">
        <v>1</v>
      </c>
      <c r="J597" s="28" t="s">
        <v>21</v>
      </c>
      <c r="K597" s="12" t="s">
        <v>22</v>
      </c>
      <c r="L597" s="13">
        <v>35</v>
      </c>
    </row>
    <row r="598" spans="1:12" s="10" customFormat="1" ht="18" x14ac:dyDescent="0.25">
      <c r="A598" s="11">
        <v>594</v>
      </c>
      <c r="B598" s="28" t="s">
        <v>524</v>
      </c>
      <c r="C598" s="28" t="str">
        <f t="shared" si="20"/>
        <v>140501</v>
      </c>
      <c r="D598" s="28" t="str">
        <f>"14.140501/2024.00808/BC.I."</f>
        <v>14.140501/2024.00808/BC.I.</v>
      </c>
      <c r="E598" s="28" t="str">
        <f>"201080027713"</f>
        <v>201080027713</v>
      </c>
      <c r="F598" s="28" t="str">
        <f t="shared" si="21"/>
        <v>COMPUTADORA/MICROCOMPUTADORA</v>
      </c>
      <c r="G598" s="28" t="s">
        <v>19</v>
      </c>
      <c r="H598" s="28" t="s">
        <v>20</v>
      </c>
      <c r="I598" s="29">
        <v>1</v>
      </c>
      <c r="J598" s="28" t="s">
        <v>21</v>
      </c>
      <c r="K598" s="12" t="s">
        <v>22</v>
      </c>
      <c r="L598" s="13">
        <v>35</v>
      </c>
    </row>
    <row r="599" spans="1:12" s="10" customFormat="1" ht="18" x14ac:dyDescent="0.25">
      <c r="A599" s="11">
        <v>595</v>
      </c>
      <c r="B599" s="28" t="s">
        <v>524</v>
      </c>
      <c r="C599" s="28" t="str">
        <f t="shared" si="20"/>
        <v>140501</v>
      </c>
      <c r="D599" s="28" t="str">
        <f>"14.140501/2024.00771/BC.I."</f>
        <v>14.140501/2024.00771/BC.I.</v>
      </c>
      <c r="E599" s="28" t="str">
        <f>"201080027733"</f>
        <v>201080027733</v>
      </c>
      <c r="F599" s="28" t="str">
        <f t="shared" si="21"/>
        <v>COMPUTADORA/MICROCOMPUTADORA</v>
      </c>
      <c r="G599" s="28" t="s">
        <v>19</v>
      </c>
      <c r="H599" s="28" t="s">
        <v>20</v>
      </c>
      <c r="I599" s="29">
        <v>1</v>
      </c>
      <c r="J599" s="28" t="s">
        <v>21</v>
      </c>
      <c r="K599" s="12" t="s">
        <v>22</v>
      </c>
      <c r="L599" s="13">
        <v>35</v>
      </c>
    </row>
    <row r="600" spans="1:12" s="10" customFormat="1" ht="18" x14ac:dyDescent="0.25">
      <c r="A600" s="11">
        <v>596</v>
      </c>
      <c r="B600" s="28" t="s">
        <v>524</v>
      </c>
      <c r="C600" s="28" t="str">
        <f t="shared" si="20"/>
        <v>140501</v>
      </c>
      <c r="D600" s="28" t="str">
        <f>"14.140501/2024.00772/BC.I."</f>
        <v>14.140501/2024.00772/BC.I.</v>
      </c>
      <c r="E600" s="28" t="str">
        <f>"201080027737"</f>
        <v>201080027737</v>
      </c>
      <c r="F600" s="28" t="str">
        <f t="shared" si="21"/>
        <v>COMPUTADORA/MICROCOMPUTADORA</v>
      </c>
      <c r="G600" s="28" t="s">
        <v>19</v>
      </c>
      <c r="H600" s="28" t="s">
        <v>20</v>
      </c>
      <c r="I600" s="29">
        <v>1</v>
      </c>
      <c r="J600" s="28" t="s">
        <v>21</v>
      </c>
      <c r="K600" s="12" t="s">
        <v>22</v>
      </c>
      <c r="L600" s="13">
        <v>35</v>
      </c>
    </row>
    <row r="601" spans="1:12" s="10" customFormat="1" ht="18" x14ac:dyDescent="0.25">
      <c r="A601" s="11">
        <v>597</v>
      </c>
      <c r="B601" s="28" t="s">
        <v>524</v>
      </c>
      <c r="C601" s="28" t="str">
        <f t="shared" si="20"/>
        <v>140501</v>
      </c>
      <c r="D601" s="28" t="str">
        <f>"14.140501/2024.00852/BC.I."</f>
        <v>14.140501/2024.00852/BC.I.</v>
      </c>
      <c r="E601" s="28" t="str">
        <f>"201080027794"</f>
        <v>201080027794</v>
      </c>
      <c r="F601" s="28" t="str">
        <f t="shared" si="21"/>
        <v>COMPUTADORA/MICROCOMPUTADORA</v>
      </c>
      <c r="G601" s="28" t="s">
        <v>19</v>
      </c>
      <c r="H601" s="28" t="s">
        <v>20</v>
      </c>
      <c r="I601" s="29">
        <v>1</v>
      </c>
      <c r="J601" s="28" t="s">
        <v>21</v>
      </c>
      <c r="K601" s="12" t="s">
        <v>22</v>
      </c>
      <c r="L601" s="13">
        <v>35</v>
      </c>
    </row>
    <row r="602" spans="1:12" s="10" customFormat="1" ht="18" x14ac:dyDescent="0.25">
      <c r="A602" s="11">
        <v>598</v>
      </c>
      <c r="B602" s="28" t="s">
        <v>524</v>
      </c>
      <c r="C602" s="28" t="str">
        <f t="shared" si="20"/>
        <v>140501</v>
      </c>
      <c r="D602" s="28" t="str">
        <f>"14.140501/2024.00813/BC.I."</f>
        <v>14.140501/2024.00813/BC.I.</v>
      </c>
      <c r="E602" s="28" t="str">
        <f>"201080027795"</f>
        <v>201080027795</v>
      </c>
      <c r="F602" s="28" t="str">
        <f t="shared" si="21"/>
        <v>COMPUTADORA/MICROCOMPUTADORA</v>
      </c>
      <c r="G602" s="28" t="s">
        <v>19</v>
      </c>
      <c r="H602" s="28" t="s">
        <v>20</v>
      </c>
      <c r="I602" s="29">
        <v>1</v>
      </c>
      <c r="J602" s="28" t="s">
        <v>21</v>
      </c>
      <c r="K602" s="12" t="s">
        <v>22</v>
      </c>
      <c r="L602" s="13">
        <v>35</v>
      </c>
    </row>
    <row r="603" spans="1:12" s="10" customFormat="1" ht="18" x14ac:dyDescent="0.25">
      <c r="A603" s="11">
        <v>599</v>
      </c>
      <c r="B603" s="28" t="s">
        <v>524</v>
      </c>
      <c r="C603" s="28" t="str">
        <f t="shared" si="20"/>
        <v>140501</v>
      </c>
      <c r="D603" s="28" t="str">
        <f>"14.140501/2024.00814/BC.I."</f>
        <v>14.140501/2024.00814/BC.I.</v>
      </c>
      <c r="E603" s="28" t="str">
        <f>"201080027798"</f>
        <v>201080027798</v>
      </c>
      <c r="F603" s="28" t="str">
        <f t="shared" si="21"/>
        <v>COMPUTADORA/MICROCOMPUTADORA</v>
      </c>
      <c r="G603" s="28" t="s">
        <v>19</v>
      </c>
      <c r="H603" s="28" t="s">
        <v>20</v>
      </c>
      <c r="I603" s="29">
        <v>1</v>
      </c>
      <c r="J603" s="28" t="s">
        <v>21</v>
      </c>
      <c r="K603" s="12" t="s">
        <v>22</v>
      </c>
      <c r="L603" s="13">
        <v>35</v>
      </c>
    </row>
    <row r="604" spans="1:12" s="10" customFormat="1" ht="18" x14ac:dyDescent="0.25">
      <c r="A604" s="11">
        <v>600</v>
      </c>
      <c r="B604" s="28" t="s">
        <v>524</v>
      </c>
      <c r="C604" s="28" t="str">
        <f t="shared" si="20"/>
        <v>140501</v>
      </c>
      <c r="D604" s="28" t="str">
        <f>"14.140501/2024.00815/BC.I."</f>
        <v>14.140501/2024.00815/BC.I.</v>
      </c>
      <c r="E604" s="28" t="str">
        <f>"201080027799"</f>
        <v>201080027799</v>
      </c>
      <c r="F604" s="28" t="str">
        <f t="shared" si="21"/>
        <v>COMPUTADORA/MICROCOMPUTADORA</v>
      </c>
      <c r="G604" s="28" t="s">
        <v>19</v>
      </c>
      <c r="H604" s="28" t="s">
        <v>20</v>
      </c>
      <c r="I604" s="29">
        <v>1</v>
      </c>
      <c r="J604" s="28" t="s">
        <v>21</v>
      </c>
      <c r="K604" s="12" t="s">
        <v>22</v>
      </c>
      <c r="L604" s="13">
        <v>35</v>
      </c>
    </row>
    <row r="605" spans="1:12" s="10" customFormat="1" ht="18" x14ac:dyDescent="0.25">
      <c r="A605" s="11">
        <v>601</v>
      </c>
      <c r="B605" s="28" t="s">
        <v>524</v>
      </c>
      <c r="C605" s="28" t="str">
        <f t="shared" si="20"/>
        <v>140501</v>
      </c>
      <c r="D605" s="28" t="str">
        <f>"14.140501/2024.00816/BC.I."</f>
        <v>14.140501/2024.00816/BC.I.</v>
      </c>
      <c r="E605" s="28" t="str">
        <f>"201080027816"</f>
        <v>201080027816</v>
      </c>
      <c r="F605" s="28" t="str">
        <f t="shared" si="21"/>
        <v>COMPUTADORA/MICROCOMPUTADORA</v>
      </c>
      <c r="G605" s="28" t="s">
        <v>19</v>
      </c>
      <c r="H605" s="28" t="s">
        <v>20</v>
      </c>
      <c r="I605" s="29">
        <v>1</v>
      </c>
      <c r="J605" s="28" t="s">
        <v>21</v>
      </c>
      <c r="K605" s="12" t="s">
        <v>22</v>
      </c>
      <c r="L605" s="13">
        <v>35</v>
      </c>
    </row>
    <row r="606" spans="1:12" s="10" customFormat="1" ht="18" x14ac:dyDescent="0.25">
      <c r="A606" s="11">
        <v>602</v>
      </c>
      <c r="B606" s="28" t="s">
        <v>524</v>
      </c>
      <c r="C606" s="28" t="str">
        <f t="shared" si="20"/>
        <v>140501</v>
      </c>
      <c r="D606" s="28" t="str">
        <f>"14.140501/2024.00817/BC.I."</f>
        <v>14.140501/2024.00817/BC.I.</v>
      </c>
      <c r="E606" s="28" t="str">
        <f>"201080027819"</f>
        <v>201080027819</v>
      </c>
      <c r="F606" s="28" t="str">
        <f t="shared" si="21"/>
        <v>COMPUTADORA/MICROCOMPUTADORA</v>
      </c>
      <c r="G606" s="28" t="s">
        <v>19</v>
      </c>
      <c r="H606" s="28" t="s">
        <v>20</v>
      </c>
      <c r="I606" s="29">
        <v>1</v>
      </c>
      <c r="J606" s="28" t="s">
        <v>21</v>
      </c>
      <c r="K606" s="12" t="s">
        <v>22</v>
      </c>
      <c r="L606" s="13">
        <v>35</v>
      </c>
    </row>
    <row r="607" spans="1:12" s="10" customFormat="1" ht="18" x14ac:dyDescent="0.25">
      <c r="A607" s="11">
        <v>603</v>
      </c>
      <c r="B607" s="28" t="s">
        <v>524</v>
      </c>
      <c r="C607" s="28" t="str">
        <f t="shared" si="20"/>
        <v>140501</v>
      </c>
      <c r="D607" s="28" t="str">
        <f>"14.140501/2024.00807/BC.I."</f>
        <v>14.140501/2024.00807/BC.I.</v>
      </c>
      <c r="E607" s="28" t="str">
        <f>"201080027841"</f>
        <v>201080027841</v>
      </c>
      <c r="F607" s="28" t="str">
        <f t="shared" si="21"/>
        <v>COMPUTADORA/MICROCOMPUTADORA</v>
      </c>
      <c r="G607" s="28" t="s">
        <v>19</v>
      </c>
      <c r="H607" s="28" t="s">
        <v>20</v>
      </c>
      <c r="I607" s="29">
        <v>1</v>
      </c>
      <c r="J607" s="28" t="s">
        <v>21</v>
      </c>
      <c r="K607" s="12" t="s">
        <v>22</v>
      </c>
      <c r="L607" s="13">
        <v>35</v>
      </c>
    </row>
    <row r="608" spans="1:12" s="10" customFormat="1" ht="18" x14ac:dyDescent="0.25">
      <c r="A608" s="11">
        <v>604</v>
      </c>
      <c r="B608" s="28" t="s">
        <v>524</v>
      </c>
      <c r="C608" s="28" t="str">
        <f t="shared" si="20"/>
        <v>140501</v>
      </c>
      <c r="D608" s="28" t="str">
        <f>"14.140501/2024.00797/BC.I."</f>
        <v>14.140501/2024.00797/BC.I.</v>
      </c>
      <c r="E608" s="28" t="str">
        <f>"201080027862"</f>
        <v>201080027862</v>
      </c>
      <c r="F608" s="28" t="str">
        <f t="shared" si="21"/>
        <v>COMPUTADORA/MICROCOMPUTADORA</v>
      </c>
      <c r="G608" s="28" t="s">
        <v>19</v>
      </c>
      <c r="H608" s="28" t="s">
        <v>20</v>
      </c>
      <c r="I608" s="29">
        <v>1</v>
      </c>
      <c r="J608" s="28" t="s">
        <v>21</v>
      </c>
      <c r="K608" s="12" t="s">
        <v>22</v>
      </c>
      <c r="L608" s="13">
        <v>35</v>
      </c>
    </row>
    <row r="609" spans="1:12" s="10" customFormat="1" ht="18" x14ac:dyDescent="0.25">
      <c r="A609" s="11">
        <v>605</v>
      </c>
      <c r="B609" s="28" t="s">
        <v>524</v>
      </c>
      <c r="C609" s="28" t="str">
        <f t="shared" si="20"/>
        <v>140501</v>
      </c>
      <c r="D609" s="28" t="str">
        <f>"14.140501/2024.00847/BC.I."</f>
        <v>14.140501/2024.00847/BC.I.</v>
      </c>
      <c r="E609" s="28" t="str">
        <f>"201080027865"</f>
        <v>201080027865</v>
      </c>
      <c r="F609" s="28" t="str">
        <f t="shared" si="21"/>
        <v>COMPUTADORA/MICROCOMPUTADORA</v>
      </c>
      <c r="G609" s="28" t="s">
        <v>19</v>
      </c>
      <c r="H609" s="28" t="s">
        <v>20</v>
      </c>
      <c r="I609" s="29">
        <v>1</v>
      </c>
      <c r="J609" s="28" t="s">
        <v>21</v>
      </c>
      <c r="K609" s="12" t="s">
        <v>22</v>
      </c>
      <c r="L609" s="13">
        <v>35</v>
      </c>
    </row>
    <row r="610" spans="1:12" s="10" customFormat="1" ht="18" x14ac:dyDescent="0.25">
      <c r="A610" s="11">
        <v>606</v>
      </c>
      <c r="B610" s="28" t="s">
        <v>524</v>
      </c>
      <c r="C610" s="28" t="str">
        <f t="shared" si="20"/>
        <v>140501</v>
      </c>
      <c r="D610" s="28" t="str">
        <f>"14.140501/2024.00830/BC.I."</f>
        <v>14.140501/2024.00830/BC.I.</v>
      </c>
      <c r="E610" s="28" t="str">
        <f>"201080027877"</f>
        <v>201080027877</v>
      </c>
      <c r="F610" s="28" t="str">
        <f t="shared" si="21"/>
        <v>COMPUTADORA/MICROCOMPUTADORA</v>
      </c>
      <c r="G610" s="28" t="s">
        <v>19</v>
      </c>
      <c r="H610" s="28" t="s">
        <v>20</v>
      </c>
      <c r="I610" s="29">
        <v>1</v>
      </c>
      <c r="J610" s="28" t="s">
        <v>21</v>
      </c>
      <c r="K610" s="12" t="s">
        <v>22</v>
      </c>
      <c r="L610" s="13">
        <v>35</v>
      </c>
    </row>
    <row r="611" spans="1:12" s="10" customFormat="1" ht="18" x14ac:dyDescent="0.25">
      <c r="A611" s="11">
        <v>607</v>
      </c>
      <c r="B611" s="28" t="s">
        <v>524</v>
      </c>
      <c r="C611" s="28" t="str">
        <f t="shared" si="20"/>
        <v>140501</v>
      </c>
      <c r="D611" s="28" t="str">
        <f>"14.140501/2024.00776/BC.I."</f>
        <v>14.140501/2024.00776/BC.I.</v>
      </c>
      <c r="E611" s="28" t="str">
        <f>"201080027883"</f>
        <v>201080027883</v>
      </c>
      <c r="F611" s="28" t="str">
        <f t="shared" si="21"/>
        <v>COMPUTADORA/MICROCOMPUTADORA</v>
      </c>
      <c r="G611" s="28" t="s">
        <v>19</v>
      </c>
      <c r="H611" s="28" t="s">
        <v>20</v>
      </c>
      <c r="I611" s="29">
        <v>1</v>
      </c>
      <c r="J611" s="28" t="s">
        <v>21</v>
      </c>
      <c r="K611" s="12" t="s">
        <v>22</v>
      </c>
      <c r="L611" s="13">
        <v>35</v>
      </c>
    </row>
    <row r="612" spans="1:12" s="10" customFormat="1" ht="18" x14ac:dyDescent="0.25">
      <c r="A612" s="11">
        <v>608</v>
      </c>
      <c r="B612" s="28" t="s">
        <v>524</v>
      </c>
      <c r="C612" s="28" t="str">
        <f t="shared" si="20"/>
        <v>140501</v>
      </c>
      <c r="D612" s="28" t="str">
        <f>"14.140501/2024.00832/BC.I."</f>
        <v>14.140501/2024.00832/BC.I.</v>
      </c>
      <c r="E612" s="28" t="str">
        <f>"201080027884"</f>
        <v>201080027884</v>
      </c>
      <c r="F612" s="28" t="str">
        <f t="shared" si="21"/>
        <v>COMPUTADORA/MICROCOMPUTADORA</v>
      </c>
      <c r="G612" s="28" t="s">
        <v>19</v>
      </c>
      <c r="H612" s="28" t="s">
        <v>20</v>
      </c>
      <c r="I612" s="29">
        <v>1</v>
      </c>
      <c r="J612" s="28" t="s">
        <v>21</v>
      </c>
      <c r="K612" s="12" t="s">
        <v>22</v>
      </c>
      <c r="L612" s="13">
        <v>35</v>
      </c>
    </row>
    <row r="613" spans="1:12" s="10" customFormat="1" ht="18" x14ac:dyDescent="0.25">
      <c r="A613" s="11">
        <v>609</v>
      </c>
      <c r="B613" s="28" t="s">
        <v>524</v>
      </c>
      <c r="C613" s="28" t="str">
        <f t="shared" si="20"/>
        <v>140501</v>
      </c>
      <c r="D613" s="28" t="str">
        <f>"14.140501/2024.00836/BC.I."</f>
        <v>14.140501/2024.00836/BC.I.</v>
      </c>
      <c r="E613" s="28" t="str">
        <f>"201080027885"</f>
        <v>201080027885</v>
      </c>
      <c r="F613" s="28" t="str">
        <f t="shared" si="21"/>
        <v>COMPUTADORA/MICROCOMPUTADORA</v>
      </c>
      <c r="G613" s="28" t="s">
        <v>19</v>
      </c>
      <c r="H613" s="28" t="s">
        <v>20</v>
      </c>
      <c r="I613" s="29">
        <v>1</v>
      </c>
      <c r="J613" s="28" t="s">
        <v>21</v>
      </c>
      <c r="K613" s="12" t="s">
        <v>22</v>
      </c>
      <c r="L613" s="13">
        <v>35</v>
      </c>
    </row>
    <row r="614" spans="1:12" s="10" customFormat="1" ht="18" x14ac:dyDescent="0.25">
      <c r="A614" s="11">
        <v>610</v>
      </c>
      <c r="B614" s="28" t="s">
        <v>524</v>
      </c>
      <c r="C614" s="28" t="str">
        <f t="shared" si="20"/>
        <v>140501</v>
      </c>
      <c r="D614" s="28" t="str">
        <f>"14.140501/2024.00833/BC.I."</f>
        <v>14.140501/2024.00833/BC.I.</v>
      </c>
      <c r="E614" s="28" t="str">
        <f>"201080027887"</f>
        <v>201080027887</v>
      </c>
      <c r="F614" s="28" t="str">
        <f t="shared" si="21"/>
        <v>COMPUTADORA/MICROCOMPUTADORA</v>
      </c>
      <c r="G614" s="28" t="s">
        <v>19</v>
      </c>
      <c r="H614" s="28" t="s">
        <v>20</v>
      </c>
      <c r="I614" s="29">
        <v>1</v>
      </c>
      <c r="J614" s="28" t="s">
        <v>21</v>
      </c>
      <c r="K614" s="12" t="s">
        <v>22</v>
      </c>
      <c r="L614" s="13">
        <v>35</v>
      </c>
    </row>
    <row r="615" spans="1:12" s="10" customFormat="1" ht="18" x14ac:dyDescent="0.25">
      <c r="A615" s="11">
        <v>611</v>
      </c>
      <c r="B615" s="28" t="s">
        <v>524</v>
      </c>
      <c r="C615" s="28" t="str">
        <f t="shared" si="20"/>
        <v>140501</v>
      </c>
      <c r="D615" s="28" t="str">
        <f>"14.140501/2024.00837/BC.I."</f>
        <v>14.140501/2024.00837/BC.I.</v>
      </c>
      <c r="E615" s="28" t="str">
        <f>"201080027889"</f>
        <v>201080027889</v>
      </c>
      <c r="F615" s="28" t="str">
        <f t="shared" si="21"/>
        <v>COMPUTADORA/MICROCOMPUTADORA</v>
      </c>
      <c r="G615" s="28" t="s">
        <v>19</v>
      </c>
      <c r="H615" s="28" t="s">
        <v>20</v>
      </c>
      <c r="I615" s="29">
        <v>1</v>
      </c>
      <c r="J615" s="28" t="s">
        <v>21</v>
      </c>
      <c r="K615" s="12" t="s">
        <v>22</v>
      </c>
      <c r="L615" s="13">
        <v>35</v>
      </c>
    </row>
    <row r="616" spans="1:12" s="10" customFormat="1" ht="18" x14ac:dyDescent="0.25">
      <c r="A616" s="11">
        <v>612</v>
      </c>
      <c r="B616" s="28" t="s">
        <v>524</v>
      </c>
      <c r="C616" s="28" t="str">
        <f t="shared" si="20"/>
        <v>140501</v>
      </c>
      <c r="D616" s="28" t="str">
        <f>"14.140501/2024.00857/BC.I."</f>
        <v>14.140501/2024.00857/BC.I.</v>
      </c>
      <c r="E616" s="28" t="str">
        <f>"201080027894"</f>
        <v>201080027894</v>
      </c>
      <c r="F616" s="28" t="str">
        <f t="shared" si="21"/>
        <v>COMPUTADORA/MICROCOMPUTADORA</v>
      </c>
      <c r="G616" s="28" t="s">
        <v>19</v>
      </c>
      <c r="H616" s="28" t="s">
        <v>20</v>
      </c>
      <c r="I616" s="29">
        <v>1</v>
      </c>
      <c r="J616" s="28" t="s">
        <v>21</v>
      </c>
      <c r="K616" s="12" t="s">
        <v>22</v>
      </c>
      <c r="L616" s="13">
        <v>35</v>
      </c>
    </row>
    <row r="617" spans="1:12" s="10" customFormat="1" ht="18" x14ac:dyDescent="0.25">
      <c r="A617" s="11">
        <v>613</v>
      </c>
      <c r="B617" s="28" t="s">
        <v>524</v>
      </c>
      <c r="C617" s="28" t="str">
        <f t="shared" si="20"/>
        <v>140501</v>
      </c>
      <c r="D617" s="28" t="str">
        <f>"14.140501/2024.00819/BC.I."</f>
        <v>14.140501/2024.00819/BC.I.</v>
      </c>
      <c r="E617" s="28" t="str">
        <f>"201080027896"</f>
        <v>201080027896</v>
      </c>
      <c r="F617" s="28" t="str">
        <f t="shared" si="21"/>
        <v>COMPUTADORA/MICROCOMPUTADORA</v>
      </c>
      <c r="G617" s="28" t="s">
        <v>19</v>
      </c>
      <c r="H617" s="28" t="s">
        <v>20</v>
      </c>
      <c r="I617" s="29">
        <v>1</v>
      </c>
      <c r="J617" s="28" t="s">
        <v>21</v>
      </c>
      <c r="K617" s="12" t="s">
        <v>22</v>
      </c>
      <c r="L617" s="13">
        <v>35</v>
      </c>
    </row>
    <row r="618" spans="1:12" s="10" customFormat="1" ht="18" x14ac:dyDescent="0.25">
      <c r="A618" s="11">
        <v>614</v>
      </c>
      <c r="B618" s="28" t="s">
        <v>524</v>
      </c>
      <c r="C618" s="28" t="str">
        <f t="shared" si="20"/>
        <v>140501</v>
      </c>
      <c r="D618" s="28" t="str">
        <f>"14.140501/2024.00834/BC.I."</f>
        <v>14.140501/2024.00834/BC.I.</v>
      </c>
      <c r="E618" s="28" t="str">
        <f>"201080027897"</f>
        <v>201080027897</v>
      </c>
      <c r="F618" s="28" t="str">
        <f t="shared" si="21"/>
        <v>COMPUTADORA/MICROCOMPUTADORA</v>
      </c>
      <c r="G618" s="28" t="s">
        <v>19</v>
      </c>
      <c r="H618" s="28" t="s">
        <v>20</v>
      </c>
      <c r="I618" s="29">
        <v>1</v>
      </c>
      <c r="J618" s="28" t="s">
        <v>21</v>
      </c>
      <c r="K618" s="12" t="s">
        <v>22</v>
      </c>
      <c r="L618" s="13">
        <v>35</v>
      </c>
    </row>
    <row r="619" spans="1:12" s="10" customFormat="1" ht="18" x14ac:dyDescent="0.25">
      <c r="A619" s="11">
        <v>615</v>
      </c>
      <c r="B619" s="28" t="s">
        <v>524</v>
      </c>
      <c r="C619" s="28" t="str">
        <f t="shared" si="20"/>
        <v>140501</v>
      </c>
      <c r="D619" s="28" t="str">
        <f>"14.140501/2024.00838/BC.I."</f>
        <v>14.140501/2024.00838/BC.I.</v>
      </c>
      <c r="E619" s="28" t="str">
        <f>"201080027906"</f>
        <v>201080027906</v>
      </c>
      <c r="F619" s="28" t="str">
        <f t="shared" si="21"/>
        <v>COMPUTADORA/MICROCOMPUTADORA</v>
      </c>
      <c r="G619" s="28" t="s">
        <v>19</v>
      </c>
      <c r="H619" s="28" t="s">
        <v>20</v>
      </c>
      <c r="I619" s="29">
        <v>1</v>
      </c>
      <c r="J619" s="28" t="s">
        <v>21</v>
      </c>
      <c r="K619" s="12" t="s">
        <v>22</v>
      </c>
      <c r="L619" s="13">
        <v>35</v>
      </c>
    </row>
    <row r="620" spans="1:12" s="10" customFormat="1" ht="18" x14ac:dyDescent="0.25">
      <c r="A620" s="11">
        <v>616</v>
      </c>
      <c r="B620" s="28" t="s">
        <v>524</v>
      </c>
      <c r="C620" s="28" t="str">
        <f t="shared" si="20"/>
        <v>140501</v>
      </c>
      <c r="D620" s="28" t="str">
        <f>"14.140501/2024.00762/BC.I."</f>
        <v>14.140501/2024.00762/BC.I.</v>
      </c>
      <c r="E620" s="28" t="str">
        <f>"201080075687"</f>
        <v>201080075687</v>
      </c>
      <c r="F620" s="28" t="str">
        <f t="shared" si="21"/>
        <v>COMPUTADORA/MICROCOMPUTADORA</v>
      </c>
      <c r="G620" s="28" t="s">
        <v>19</v>
      </c>
      <c r="H620" s="28" t="s">
        <v>20</v>
      </c>
      <c r="I620" s="29">
        <v>1</v>
      </c>
      <c r="J620" s="28" t="s">
        <v>21</v>
      </c>
      <c r="K620" s="12" t="s">
        <v>22</v>
      </c>
      <c r="L620" s="13">
        <v>35</v>
      </c>
    </row>
    <row r="621" spans="1:12" s="10" customFormat="1" ht="18" x14ac:dyDescent="0.25">
      <c r="A621" s="11">
        <v>617</v>
      </c>
      <c r="B621" s="28" t="s">
        <v>524</v>
      </c>
      <c r="C621" s="28" t="str">
        <f t="shared" si="20"/>
        <v>140501</v>
      </c>
      <c r="D621" s="28" t="str">
        <f>"14.140501/2024.00798/BC.I."</f>
        <v>14.140501/2024.00798/BC.I.</v>
      </c>
      <c r="E621" s="28" t="str">
        <f>"201180013034"</f>
        <v>201180013034</v>
      </c>
      <c r="F621" s="28" t="str">
        <f t="shared" si="21"/>
        <v>COMPUTADORA/MICROCOMPUTADORA</v>
      </c>
      <c r="G621" s="28" t="s">
        <v>19</v>
      </c>
      <c r="H621" s="28" t="s">
        <v>20</v>
      </c>
      <c r="I621" s="29">
        <v>1</v>
      </c>
      <c r="J621" s="28" t="s">
        <v>21</v>
      </c>
      <c r="K621" s="12" t="s">
        <v>22</v>
      </c>
      <c r="L621" s="13">
        <v>35</v>
      </c>
    </row>
    <row r="622" spans="1:12" s="10" customFormat="1" ht="18" x14ac:dyDescent="0.25">
      <c r="A622" s="11">
        <v>618</v>
      </c>
      <c r="B622" s="28" t="s">
        <v>524</v>
      </c>
      <c r="C622" s="28" t="str">
        <f t="shared" si="20"/>
        <v>140501</v>
      </c>
      <c r="D622" s="28" t="str">
        <f>"14.140501/2024.00823/BC.I."</f>
        <v>14.140501/2024.00823/BC.I.</v>
      </c>
      <c r="E622" s="28" t="str">
        <f>"201180014171"</f>
        <v>201180014171</v>
      </c>
      <c r="F622" s="28" t="str">
        <f t="shared" si="21"/>
        <v>COMPUTADORA/MICROCOMPUTADORA</v>
      </c>
      <c r="G622" s="28" t="s">
        <v>19</v>
      </c>
      <c r="H622" s="28" t="s">
        <v>20</v>
      </c>
      <c r="I622" s="29">
        <v>1</v>
      </c>
      <c r="J622" s="28" t="s">
        <v>21</v>
      </c>
      <c r="K622" s="12" t="s">
        <v>22</v>
      </c>
      <c r="L622" s="13">
        <v>35</v>
      </c>
    </row>
    <row r="623" spans="1:12" s="10" customFormat="1" ht="18" x14ac:dyDescent="0.25">
      <c r="A623" s="11">
        <v>619</v>
      </c>
      <c r="B623" s="28" t="s">
        <v>524</v>
      </c>
      <c r="C623" s="28" t="str">
        <f t="shared" si="20"/>
        <v>140501</v>
      </c>
      <c r="D623" s="28" t="str">
        <f>"14.140501/2024.00792/BC.O."</f>
        <v>14.140501/2024.00792/BC.O.</v>
      </c>
      <c r="E623" s="28" t="str">
        <f>"1990104214"</f>
        <v>1990104214</v>
      </c>
      <c r="F623" s="28" t="str">
        <f>"SILLON/DE MADERA FIJO"</f>
        <v>SILLON/DE MADERA FIJO</v>
      </c>
      <c r="G623" s="28" t="s">
        <v>19</v>
      </c>
      <c r="H623" s="28" t="s">
        <v>20</v>
      </c>
      <c r="I623" s="29">
        <v>1</v>
      </c>
      <c r="J623" s="28" t="s">
        <v>21</v>
      </c>
      <c r="K623" s="12" t="s">
        <v>22</v>
      </c>
      <c r="L623" s="13">
        <v>25</v>
      </c>
    </row>
    <row r="624" spans="1:12" s="10" customFormat="1" ht="18" x14ac:dyDescent="0.25">
      <c r="A624" s="11">
        <v>620</v>
      </c>
      <c r="B624" s="28" t="s">
        <v>524</v>
      </c>
      <c r="C624" s="28" t="str">
        <f t="shared" si="20"/>
        <v>140501</v>
      </c>
      <c r="D624" s="28" t="str">
        <f>"14.140501/2024.00793/BC.O."</f>
        <v>14.140501/2024.00793/BC.O.</v>
      </c>
      <c r="E624" s="28" t="str">
        <f>"1994029459"</f>
        <v>1994029459</v>
      </c>
      <c r="F624" s="28" t="str">
        <f>"ELECTROCARDIOGRAFO/PORTATIL"</f>
        <v>ELECTROCARDIOGRAFO/PORTATIL</v>
      </c>
      <c r="G624" s="28" t="s">
        <v>19</v>
      </c>
      <c r="H624" s="28" t="s">
        <v>20</v>
      </c>
      <c r="I624" s="29">
        <v>1</v>
      </c>
      <c r="J624" s="28" t="s">
        <v>21</v>
      </c>
      <c r="K624" s="12" t="s">
        <v>22</v>
      </c>
      <c r="L624" s="13">
        <v>250</v>
      </c>
    </row>
    <row r="625" spans="1:12" s="10" customFormat="1" ht="18" x14ac:dyDescent="0.25">
      <c r="A625" s="11">
        <v>621</v>
      </c>
      <c r="B625" s="28" t="s">
        <v>524</v>
      </c>
      <c r="C625" s="28" t="str">
        <f t="shared" si="20"/>
        <v>140501</v>
      </c>
      <c r="D625" s="28" t="str">
        <f>"14.140501/2024.00831/BC.O."</f>
        <v>14.140501/2024.00831/BC.O.</v>
      </c>
      <c r="E625" s="28" t="str">
        <f>"2000910181"</f>
        <v>2000910181</v>
      </c>
      <c r="F625" s="28" t="str">
        <f>"CAMPIMETRO/ENTERICA"</f>
        <v>CAMPIMETRO/ENTERICA</v>
      </c>
      <c r="G625" s="28" t="s">
        <v>19</v>
      </c>
      <c r="H625" s="28" t="s">
        <v>20</v>
      </c>
      <c r="I625" s="29">
        <v>1</v>
      </c>
      <c r="J625" s="28" t="s">
        <v>21</v>
      </c>
      <c r="K625" s="12" t="s">
        <v>22</v>
      </c>
      <c r="L625" s="13">
        <v>35</v>
      </c>
    </row>
    <row r="626" spans="1:12" s="10" customFormat="1" ht="18" x14ac:dyDescent="0.25">
      <c r="A626" s="11">
        <v>622</v>
      </c>
      <c r="B626" s="28" t="s">
        <v>524</v>
      </c>
      <c r="C626" s="28" t="str">
        <f t="shared" si="20"/>
        <v>140501</v>
      </c>
      <c r="D626" s="28" t="str">
        <f>"14.140501/2024.00809/BC.O."</f>
        <v>14.140501/2024.00809/BC.O.</v>
      </c>
      <c r="E626" s="28" t="str">
        <f>"200400022112"</f>
        <v>200400022112</v>
      </c>
      <c r="F626" s="28" t="str">
        <f>"ARCHIVERO/METALICO DE GUARDA VISIBLE"</f>
        <v>ARCHIVERO/METALICO DE GUARDA VISIBLE</v>
      </c>
      <c r="G626" s="28" t="s">
        <v>19</v>
      </c>
      <c r="H626" s="28" t="s">
        <v>20</v>
      </c>
      <c r="I626" s="29">
        <v>1</v>
      </c>
      <c r="J626" s="28" t="s">
        <v>21</v>
      </c>
      <c r="K626" s="12" t="s">
        <v>22</v>
      </c>
      <c r="L626" s="13">
        <v>40</v>
      </c>
    </row>
    <row r="627" spans="1:12" s="10" customFormat="1" ht="18" x14ac:dyDescent="0.25">
      <c r="A627" s="11">
        <v>623</v>
      </c>
      <c r="B627" s="28" t="s">
        <v>524</v>
      </c>
      <c r="C627" s="28" t="str">
        <f t="shared" si="20"/>
        <v>140501</v>
      </c>
      <c r="D627" s="28" t="str">
        <f>"14.140501/2024.00818/BC.O."</f>
        <v>14.140501/2024.00818/BC.O.</v>
      </c>
      <c r="E627" s="28" t="str">
        <f>"200400030248"</f>
        <v>200400030248</v>
      </c>
      <c r="F627" s="28" t="str">
        <f>"MESA/PARA EXPLORACION UNIVERSAL"</f>
        <v>MESA/PARA EXPLORACION UNIVERSAL</v>
      </c>
      <c r="G627" s="28" t="s">
        <v>19</v>
      </c>
      <c r="H627" s="28" t="s">
        <v>20</v>
      </c>
      <c r="I627" s="29">
        <v>1</v>
      </c>
      <c r="J627" s="28" t="s">
        <v>21</v>
      </c>
      <c r="K627" s="12" t="s">
        <v>22</v>
      </c>
      <c r="L627" s="13">
        <v>150</v>
      </c>
    </row>
    <row r="628" spans="1:12" s="10" customFormat="1" ht="18" x14ac:dyDescent="0.25">
      <c r="A628" s="11">
        <v>624</v>
      </c>
      <c r="B628" s="28" t="s">
        <v>524</v>
      </c>
      <c r="C628" s="28" t="str">
        <f t="shared" si="20"/>
        <v>140501</v>
      </c>
      <c r="D628" s="28" t="str">
        <f>"14.140501/2024.00774/BC.O."</f>
        <v>14.140501/2024.00774/BC.O.</v>
      </c>
      <c r="E628" s="28" t="str">
        <f>"200400047256"</f>
        <v>200400047256</v>
      </c>
      <c r="F628" s="28" t="str">
        <f>"CREDENZA/METALICA"</f>
        <v>CREDENZA/METALICA</v>
      </c>
      <c r="G628" s="28" t="s">
        <v>19</v>
      </c>
      <c r="H628" s="28" t="s">
        <v>20</v>
      </c>
      <c r="I628" s="29">
        <v>1</v>
      </c>
      <c r="J628" s="28" t="s">
        <v>21</v>
      </c>
      <c r="K628" s="12" t="s">
        <v>22</v>
      </c>
      <c r="L628" s="13">
        <v>40</v>
      </c>
    </row>
    <row r="629" spans="1:12" s="10" customFormat="1" ht="18" x14ac:dyDescent="0.25">
      <c r="A629" s="11">
        <v>625</v>
      </c>
      <c r="B629" s="28" t="s">
        <v>524</v>
      </c>
      <c r="C629" s="28" t="str">
        <f t="shared" si="20"/>
        <v>140501</v>
      </c>
      <c r="D629" s="28" t="str">
        <f>"14.140501/2024.00841/BC.O."</f>
        <v>14.140501/2024.00841/BC.O.</v>
      </c>
      <c r="E629" s="28" t="str">
        <f>"200490020674"</f>
        <v>200490020674</v>
      </c>
      <c r="F629" s="28" t="str">
        <f t="shared" ref="F629:F634" si="22">"BANCA/ENTANDEM DE 4 PLAZAS"</f>
        <v>BANCA/ENTANDEM DE 4 PLAZAS</v>
      </c>
      <c r="G629" s="28" t="s">
        <v>19</v>
      </c>
      <c r="H629" s="28" t="s">
        <v>20</v>
      </c>
      <c r="I629" s="29">
        <v>1</v>
      </c>
      <c r="J629" s="28" t="s">
        <v>21</v>
      </c>
      <c r="K629" s="12" t="s">
        <v>22</v>
      </c>
      <c r="L629" s="13">
        <v>40</v>
      </c>
    </row>
    <row r="630" spans="1:12" s="10" customFormat="1" ht="18" x14ac:dyDescent="0.25">
      <c r="A630" s="11">
        <v>626</v>
      </c>
      <c r="B630" s="28" t="s">
        <v>524</v>
      </c>
      <c r="C630" s="28" t="str">
        <f t="shared" ref="C630:C693" si="23">"140501"</f>
        <v>140501</v>
      </c>
      <c r="D630" s="28" t="str">
        <f>"14.140501/2024.00842/BC.O."</f>
        <v>14.140501/2024.00842/BC.O.</v>
      </c>
      <c r="E630" s="28" t="str">
        <f>"200490020676"</f>
        <v>200490020676</v>
      </c>
      <c r="F630" s="28" t="str">
        <f t="shared" si="22"/>
        <v>BANCA/ENTANDEM DE 4 PLAZAS</v>
      </c>
      <c r="G630" s="28" t="s">
        <v>19</v>
      </c>
      <c r="H630" s="28" t="s">
        <v>20</v>
      </c>
      <c r="I630" s="29">
        <v>1</v>
      </c>
      <c r="J630" s="28" t="s">
        <v>21</v>
      </c>
      <c r="K630" s="12" t="s">
        <v>22</v>
      </c>
      <c r="L630" s="13">
        <v>40</v>
      </c>
    </row>
    <row r="631" spans="1:12" s="10" customFormat="1" ht="18" x14ac:dyDescent="0.25">
      <c r="A631" s="11">
        <v>627</v>
      </c>
      <c r="B631" s="28" t="s">
        <v>524</v>
      </c>
      <c r="C631" s="28" t="str">
        <f t="shared" si="23"/>
        <v>140501</v>
      </c>
      <c r="D631" s="28" t="str">
        <f>"14.140501/2024.00843/BC.O."</f>
        <v>14.140501/2024.00843/BC.O.</v>
      </c>
      <c r="E631" s="28" t="str">
        <f>"200490020683"</f>
        <v>200490020683</v>
      </c>
      <c r="F631" s="28" t="str">
        <f t="shared" si="22"/>
        <v>BANCA/ENTANDEM DE 4 PLAZAS</v>
      </c>
      <c r="G631" s="28" t="s">
        <v>19</v>
      </c>
      <c r="H631" s="28" t="s">
        <v>20</v>
      </c>
      <c r="I631" s="29">
        <v>1</v>
      </c>
      <c r="J631" s="28" t="s">
        <v>21</v>
      </c>
      <c r="K631" s="12" t="s">
        <v>22</v>
      </c>
      <c r="L631" s="13">
        <v>40</v>
      </c>
    </row>
    <row r="632" spans="1:12" s="10" customFormat="1" ht="18" x14ac:dyDescent="0.25">
      <c r="A632" s="11">
        <v>628</v>
      </c>
      <c r="B632" s="28" t="s">
        <v>524</v>
      </c>
      <c r="C632" s="28" t="str">
        <f t="shared" si="23"/>
        <v>140501</v>
      </c>
      <c r="D632" s="28" t="str">
        <f>"14.140501/2024.00844/BC.O."</f>
        <v>14.140501/2024.00844/BC.O.</v>
      </c>
      <c r="E632" s="28" t="str">
        <f>"200490020684"</f>
        <v>200490020684</v>
      </c>
      <c r="F632" s="28" t="str">
        <f t="shared" si="22"/>
        <v>BANCA/ENTANDEM DE 4 PLAZAS</v>
      </c>
      <c r="G632" s="28" t="s">
        <v>19</v>
      </c>
      <c r="H632" s="28" t="s">
        <v>20</v>
      </c>
      <c r="I632" s="29">
        <v>1</v>
      </c>
      <c r="J632" s="28" t="s">
        <v>21</v>
      </c>
      <c r="K632" s="12" t="s">
        <v>22</v>
      </c>
      <c r="L632" s="13">
        <v>40</v>
      </c>
    </row>
    <row r="633" spans="1:12" s="10" customFormat="1" ht="18" x14ac:dyDescent="0.25">
      <c r="A633" s="11">
        <v>629</v>
      </c>
      <c r="B633" s="28" t="s">
        <v>524</v>
      </c>
      <c r="C633" s="28" t="str">
        <f t="shared" si="23"/>
        <v>140501</v>
      </c>
      <c r="D633" s="28" t="str">
        <f>"14.140501/2024.00845/BC.O."</f>
        <v>14.140501/2024.00845/BC.O.</v>
      </c>
      <c r="E633" s="28" t="str">
        <f>"200490020685"</f>
        <v>200490020685</v>
      </c>
      <c r="F633" s="28" t="str">
        <f t="shared" si="22"/>
        <v>BANCA/ENTANDEM DE 4 PLAZAS</v>
      </c>
      <c r="G633" s="28" t="s">
        <v>19</v>
      </c>
      <c r="H633" s="28" t="s">
        <v>20</v>
      </c>
      <c r="I633" s="29">
        <v>1</v>
      </c>
      <c r="J633" s="28" t="s">
        <v>21</v>
      </c>
      <c r="K633" s="12" t="s">
        <v>22</v>
      </c>
      <c r="L633" s="13">
        <v>40</v>
      </c>
    </row>
    <row r="634" spans="1:12" s="10" customFormat="1" ht="18" x14ac:dyDescent="0.25">
      <c r="A634" s="11">
        <v>630</v>
      </c>
      <c r="B634" s="28" t="s">
        <v>524</v>
      </c>
      <c r="C634" s="28" t="str">
        <f t="shared" si="23"/>
        <v>140501</v>
      </c>
      <c r="D634" s="28" t="str">
        <f>"14.140501/2024.00846/BC.O."</f>
        <v>14.140501/2024.00846/BC.O.</v>
      </c>
      <c r="E634" s="28" t="str">
        <f>"200490020686"</f>
        <v>200490020686</v>
      </c>
      <c r="F634" s="28" t="str">
        <f t="shared" si="22"/>
        <v>BANCA/ENTANDEM DE 4 PLAZAS</v>
      </c>
      <c r="G634" s="28" t="s">
        <v>19</v>
      </c>
      <c r="H634" s="28" t="s">
        <v>20</v>
      </c>
      <c r="I634" s="29">
        <v>1</v>
      </c>
      <c r="J634" s="28" t="s">
        <v>21</v>
      </c>
      <c r="K634" s="12" t="s">
        <v>22</v>
      </c>
      <c r="L634" s="13">
        <v>40</v>
      </c>
    </row>
    <row r="635" spans="1:12" s="10" customFormat="1" ht="18" x14ac:dyDescent="0.25">
      <c r="A635" s="11">
        <v>631</v>
      </c>
      <c r="B635" s="28" t="s">
        <v>524</v>
      </c>
      <c r="C635" s="28" t="str">
        <f t="shared" si="23"/>
        <v>140501</v>
      </c>
      <c r="D635" s="28" t="str">
        <f>"14.140501/2024.00765/BC.O."</f>
        <v>14.140501/2024.00765/BC.O.</v>
      </c>
      <c r="E635" s="28" t="str">
        <f>"200900000020"</f>
        <v>200900000020</v>
      </c>
      <c r="F635" s="28" t="str">
        <f>"ELECTROCARDIOGRAFO/REGISTRADOR DE 2 CANALES O MAS"</f>
        <v>ELECTROCARDIOGRAFO/REGISTRADOR DE 2 CANALES O MAS</v>
      </c>
      <c r="G635" s="28" t="s">
        <v>19</v>
      </c>
      <c r="H635" s="28" t="s">
        <v>20</v>
      </c>
      <c r="I635" s="29">
        <v>1</v>
      </c>
      <c r="J635" s="28" t="s">
        <v>21</v>
      </c>
      <c r="K635" s="12" t="s">
        <v>22</v>
      </c>
      <c r="L635" s="13">
        <v>250</v>
      </c>
    </row>
    <row r="636" spans="1:12" s="10" customFormat="1" ht="18" x14ac:dyDescent="0.25">
      <c r="A636" s="11">
        <v>632</v>
      </c>
      <c r="B636" s="28" t="s">
        <v>524</v>
      </c>
      <c r="C636" s="28" t="str">
        <f t="shared" si="23"/>
        <v>140501</v>
      </c>
      <c r="D636" s="28" t="str">
        <f>"14.140501/2024.00821/BC.O."</f>
        <v>14.140501/2024.00821/BC.O.</v>
      </c>
      <c r="E636" s="28" t="str">
        <f>"200900000021"</f>
        <v>200900000021</v>
      </c>
      <c r="F636" s="28" t="str">
        <f>"ELECTROCARDIOGRAFO/REGISTRADOR DE 2 CANALES O MAS"</f>
        <v>ELECTROCARDIOGRAFO/REGISTRADOR DE 2 CANALES O MAS</v>
      </c>
      <c r="G636" s="28" t="s">
        <v>19</v>
      </c>
      <c r="H636" s="28" t="s">
        <v>20</v>
      </c>
      <c r="I636" s="29">
        <v>1</v>
      </c>
      <c r="J636" s="28" t="s">
        <v>21</v>
      </c>
      <c r="K636" s="12" t="s">
        <v>22</v>
      </c>
      <c r="L636" s="13">
        <v>250</v>
      </c>
    </row>
    <row r="637" spans="1:12" s="10" customFormat="1" ht="18" x14ac:dyDescent="0.25">
      <c r="A637" s="11">
        <v>633</v>
      </c>
      <c r="B637" s="28" t="s">
        <v>524</v>
      </c>
      <c r="C637" s="28" t="str">
        <f t="shared" si="23"/>
        <v>140501</v>
      </c>
      <c r="D637" s="28" t="str">
        <f>"14.140501/2024.00777/BC.O."</f>
        <v>14.140501/2024.00777/BC.O.</v>
      </c>
      <c r="E637" s="28" t="str">
        <f>"200900000027"</f>
        <v>200900000027</v>
      </c>
      <c r="F637" s="28" t="str">
        <f t="shared" ref="F637:F651" si="24">"CARRO/CAMILLA"</f>
        <v>CARRO/CAMILLA</v>
      </c>
      <c r="G637" s="28" t="s">
        <v>19</v>
      </c>
      <c r="H637" s="28" t="s">
        <v>20</v>
      </c>
      <c r="I637" s="29">
        <v>1</v>
      </c>
      <c r="J637" s="28" t="s">
        <v>21</v>
      </c>
      <c r="K637" s="12" t="s">
        <v>22</v>
      </c>
      <c r="L637" s="13">
        <v>150</v>
      </c>
    </row>
    <row r="638" spans="1:12" s="10" customFormat="1" ht="18" x14ac:dyDescent="0.25">
      <c r="A638" s="11">
        <v>634</v>
      </c>
      <c r="B638" s="28" t="s">
        <v>524</v>
      </c>
      <c r="C638" s="28" t="str">
        <f t="shared" si="23"/>
        <v>140501</v>
      </c>
      <c r="D638" s="28" t="str">
        <f>"14.140501/2024.00778/BC.O."</f>
        <v>14.140501/2024.00778/BC.O.</v>
      </c>
      <c r="E638" s="28" t="str">
        <f>"200900000028"</f>
        <v>200900000028</v>
      </c>
      <c r="F638" s="28" t="str">
        <f t="shared" si="24"/>
        <v>CARRO/CAMILLA</v>
      </c>
      <c r="G638" s="28" t="s">
        <v>19</v>
      </c>
      <c r="H638" s="28" t="s">
        <v>20</v>
      </c>
      <c r="I638" s="29">
        <v>1</v>
      </c>
      <c r="J638" s="28" t="s">
        <v>21</v>
      </c>
      <c r="K638" s="12" t="s">
        <v>22</v>
      </c>
      <c r="L638" s="13">
        <v>150</v>
      </c>
    </row>
    <row r="639" spans="1:12" s="10" customFormat="1" ht="18" x14ac:dyDescent="0.25">
      <c r="A639" s="11">
        <v>635</v>
      </c>
      <c r="B639" s="28" t="s">
        <v>524</v>
      </c>
      <c r="C639" s="28" t="str">
        <f t="shared" si="23"/>
        <v>140501</v>
      </c>
      <c r="D639" s="28" t="str">
        <f>"14.140501/2024.00779/BC.O."</f>
        <v>14.140501/2024.00779/BC.O.</v>
      </c>
      <c r="E639" s="28" t="str">
        <f>"200900000029"</f>
        <v>200900000029</v>
      </c>
      <c r="F639" s="28" t="str">
        <f t="shared" si="24"/>
        <v>CARRO/CAMILLA</v>
      </c>
      <c r="G639" s="28" t="s">
        <v>19</v>
      </c>
      <c r="H639" s="28" t="s">
        <v>20</v>
      </c>
      <c r="I639" s="29">
        <v>1</v>
      </c>
      <c r="J639" s="28" t="s">
        <v>21</v>
      </c>
      <c r="K639" s="12" t="s">
        <v>22</v>
      </c>
      <c r="L639" s="13">
        <v>150</v>
      </c>
    </row>
    <row r="640" spans="1:12" s="10" customFormat="1" ht="18" x14ac:dyDescent="0.25">
      <c r="A640" s="11">
        <v>636</v>
      </c>
      <c r="B640" s="28" t="s">
        <v>524</v>
      </c>
      <c r="C640" s="28" t="str">
        <f t="shared" si="23"/>
        <v>140501</v>
      </c>
      <c r="D640" s="28" t="str">
        <f>"14.140501/2024.00780/BC.O."</f>
        <v>14.140501/2024.00780/BC.O.</v>
      </c>
      <c r="E640" s="28" t="str">
        <f>"200900000030"</f>
        <v>200900000030</v>
      </c>
      <c r="F640" s="28" t="str">
        <f t="shared" si="24"/>
        <v>CARRO/CAMILLA</v>
      </c>
      <c r="G640" s="28" t="s">
        <v>19</v>
      </c>
      <c r="H640" s="28" t="s">
        <v>20</v>
      </c>
      <c r="I640" s="29">
        <v>1</v>
      </c>
      <c r="J640" s="28" t="s">
        <v>21</v>
      </c>
      <c r="K640" s="12" t="s">
        <v>22</v>
      </c>
      <c r="L640" s="13">
        <v>150</v>
      </c>
    </row>
    <row r="641" spans="1:12" s="10" customFormat="1" ht="18" x14ac:dyDescent="0.25">
      <c r="A641" s="11">
        <v>637</v>
      </c>
      <c r="B641" s="28" t="s">
        <v>524</v>
      </c>
      <c r="C641" s="28" t="str">
        <f t="shared" si="23"/>
        <v>140501</v>
      </c>
      <c r="D641" s="28" t="str">
        <f>"14.140501/2024.00781/BC.O."</f>
        <v>14.140501/2024.00781/BC.O.</v>
      </c>
      <c r="E641" s="28" t="str">
        <f>"200900000031"</f>
        <v>200900000031</v>
      </c>
      <c r="F641" s="28" t="str">
        <f t="shared" si="24"/>
        <v>CARRO/CAMILLA</v>
      </c>
      <c r="G641" s="28" t="s">
        <v>19</v>
      </c>
      <c r="H641" s="28" t="s">
        <v>20</v>
      </c>
      <c r="I641" s="29">
        <v>1</v>
      </c>
      <c r="J641" s="28" t="s">
        <v>21</v>
      </c>
      <c r="K641" s="12" t="s">
        <v>22</v>
      </c>
      <c r="L641" s="13">
        <v>150</v>
      </c>
    </row>
    <row r="642" spans="1:12" s="10" customFormat="1" ht="18" x14ac:dyDescent="0.25">
      <c r="A642" s="11">
        <v>638</v>
      </c>
      <c r="B642" s="28" t="s">
        <v>524</v>
      </c>
      <c r="C642" s="28" t="str">
        <f t="shared" si="23"/>
        <v>140501</v>
      </c>
      <c r="D642" s="28" t="str">
        <f>"14.140501/2024.00782/BC.O."</f>
        <v>14.140501/2024.00782/BC.O.</v>
      </c>
      <c r="E642" s="28" t="str">
        <f>"200900000032"</f>
        <v>200900000032</v>
      </c>
      <c r="F642" s="28" t="str">
        <f t="shared" si="24"/>
        <v>CARRO/CAMILLA</v>
      </c>
      <c r="G642" s="28" t="s">
        <v>19</v>
      </c>
      <c r="H642" s="28" t="s">
        <v>20</v>
      </c>
      <c r="I642" s="29">
        <v>1</v>
      </c>
      <c r="J642" s="28" t="s">
        <v>21</v>
      </c>
      <c r="K642" s="12" t="s">
        <v>22</v>
      </c>
      <c r="L642" s="13">
        <v>150</v>
      </c>
    </row>
    <row r="643" spans="1:12" s="10" customFormat="1" ht="18" x14ac:dyDescent="0.25">
      <c r="A643" s="11">
        <v>639</v>
      </c>
      <c r="B643" s="28" t="s">
        <v>524</v>
      </c>
      <c r="C643" s="28" t="str">
        <f t="shared" si="23"/>
        <v>140501</v>
      </c>
      <c r="D643" s="28" t="str">
        <f>"14.140501/2024.00783/BC.O."</f>
        <v>14.140501/2024.00783/BC.O.</v>
      </c>
      <c r="E643" s="28" t="str">
        <f>"200900000048"</f>
        <v>200900000048</v>
      </c>
      <c r="F643" s="28" t="str">
        <f t="shared" si="24"/>
        <v>CARRO/CAMILLA</v>
      </c>
      <c r="G643" s="28" t="s">
        <v>19</v>
      </c>
      <c r="H643" s="28" t="s">
        <v>20</v>
      </c>
      <c r="I643" s="29">
        <v>1</v>
      </c>
      <c r="J643" s="28" t="s">
        <v>21</v>
      </c>
      <c r="K643" s="12" t="s">
        <v>22</v>
      </c>
      <c r="L643" s="13">
        <v>150</v>
      </c>
    </row>
    <row r="644" spans="1:12" s="10" customFormat="1" ht="18" x14ac:dyDescent="0.25">
      <c r="A644" s="11">
        <v>640</v>
      </c>
      <c r="B644" s="28" t="s">
        <v>524</v>
      </c>
      <c r="C644" s="28" t="str">
        <f t="shared" si="23"/>
        <v>140501</v>
      </c>
      <c r="D644" s="28" t="str">
        <f>"14.140501/2024.00784/BC.O."</f>
        <v>14.140501/2024.00784/BC.O.</v>
      </c>
      <c r="E644" s="28" t="str">
        <f>"200900000049"</f>
        <v>200900000049</v>
      </c>
      <c r="F644" s="28" t="str">
        <f t="shared" si="24"/>
        <v>CARRO/CAMILLA</v>
      </c>
      <c r="G644" s="28" t="s">
        <v>19</v>
      </c>
      <c r="H644" s="28" t="s">
        <v>20</v>
      </c>
      <c r="I644" s="29">
        <v>1</v>
      </c>
      <c r="J644" s="28" t="s">
        <v>21</v>
      </c>
      <c r="K644" s="12" t="s">
        <v>22</v>
      </c>
      <c r="L644" s="13">
        <v>150</v>
      </c>
    </row>
    <row r="645" spans="1:12" s="10" customFormat="1" ht="18" x14ac:dyDescent="0.25">
      <c r="A645" s="11">
        <v>641</v>
      </c>
      <c r="B645" s="28" t="s">
        <v>524</v>
      </c>
      <c r="C645" s="28" t="str">
        <f t="shared" si="23"/>
        <v>140501</v>
      </c>
      <c r="D645" s="28" t="str">
        <f>"14.140501/2024.00785/BC.O."</f>
        <v>14.140501/2024.00785/BC.O.</v>
      </c>
      <c r="E645" s="28" t="str">
        <f>"200900000050"</f>
        <v>200900000050</v>
      </c>
      <c r="F645" s="28" t="str">
        <f t="shared" si="24"/>
        <v>CARRO/CAMILLA</v>
      </c>
      <c r="G645" s="28" t="s">
        <v>19</v>
      </c>
      <c r="H645" s="28" t="s">
        <v>20</v>
      </c>
      <c r="I645" s="29">
        <v>1</v>
      </c>
      <c r="J645" s="28" t="s">
        <v>21</v>
      </c>
      <c r="K645" s="12" t="s">
        <v>22</v>
      </c>
      <c r="L645" s="13">
        <v>150</v>
      </c>
    </row>
    <row r="646" spans="1:12" s="10" customFormat="1" ht="18" x14ac:dyDescent="0.25">
      <c r="A646" s="11">
        <v>642</v>
      </c>
      <c r="B646" s="28" t="s">
        <v>524</v>
      </c>
      <c r="C646" s="28" t="str">
        <f t="shared" si="23"/>
        <v>140501</v>
      </c>
      <c r="D646" s="28" t="str">
        <f>"14.140501/2024.00786/BC.O."</f>
        <v>14.140501/2024.00786/BC.O.</v>
      </c>
      <c r="E646" s="28" t="str">
        <f>"200900000051"</f>
        <v>200900000051</v>
      </c>
      <c r="F646" s="28" t="str">
        <f t="shared" si="24"/>
        <v>CARRO/CAMILLA</v>
      </c>
      <c r="G646" s="28" t="s">
        <v>19</v>
      </c>
      <c r="H646" s="28" t="s">
        <v>20</v>
      </c>
      <c r="I646" s="29">
        <v>1</v>
      </c>
      <c r="J646" s="28" t="s">
        <v>21</v>
      </c>
      <c r="K646" s="12" t="s">
        <v>22</v>
      </c>
      <c r="L646" s="13">
        <v>150</v>
      </c>
    </row>
    <row r="647" spans="1:12" s="10" customFormat="1" ht="18" x14ac:dyDescent="0.25">
      <c r="A647" s="11">
        <v>643</v>
      </c>
      <c r="B647" s="28" t="s">
        <v>524</v>
      </c>
      <c r="C647" s="28" t="str">
        <f t="shared" si="23"/>
        <v>140501</v>
      </c>
      <c r="D647" s="28" t="str">
        <f>"14.140501/2024.00787/BC.O."</f>
        <v>14.140501/2024.00787/BC.O.</v>
      </c>
      <c r="E647" s="28" t="str">
        <f>"200900000052"</f>
        <v>200900000052</v>
      </c>
      <c r="F647" s="28" t="str">
        <f t="shared" si="24"/>
        <v>CARRO/CAMILLA</v>
      </c>
      <c r="G647" s="28" t="s">
        <v>19</v>
      </c>
      <c r="H647" s="28" t="s">
        <v>20</v>
      </c>
      <c r="I647" s="29">
        <v>1</v>
      </c>
      <c r="J647" s="28" t="s">
        <v>21</v>
      </c>
      <c r="K647" s="12" t="s">
        <v>22</v>
      </c>
      <c r="L647" s="13">
        <v>150</v>
      </c>
    </row>
    <row r="648" spans="1:12" s="10" customFormat="1" ht="18" x14ac:dyDescent="0.25">
      <c r="A648" s="11">
        <v>644</v>
      </c>
      <c r="B648" s="28" t="s">
        <v>524</v>
      </c>
      <c r="C648" s="28" t="str">
        <f t="shared" si="23"/>
        <v>140501</v>
      </c>
      <c r="D648" s="28" t="str">
        <f>"14.140501/2024.00788/BC.O."</f>
        <v>14.140501/2024.00788/BC.O.</v>
      </c>
      <c r="E648" s="28" t="str">
        <f>"200900000053"</f>
        <v>200900000053</v>
      </c>
      <c r="F648" s="28" t="str">
        <f t="shared" si="24"/>
        <v>CARRO/CAMILLA</v>
      </c>
      <c r="G648" s="28" t="s">
        <v>19</v>
      </c>
      <c r="H648" s="28" t="s">
        <v>20</v>
      </c>
      <c r="I648" s="29">
        <v>1</v>
      </c>
      <c r="J648" s="28" t="s">
        <v>21</v>
      </c>
      <c r="K648" s="12" t="s">
        <v>22</v>
      </c>
      <c r="L648" s="13">
        <v>150</v>
      </c>
    </row>
    <row r="649" spans="1:12" s="10" customFormat="1" ht="18" x14ac:dyDescent="0.25">
      <c r="A649" s="11">
        <v>645</v>
      </c>
      <c r="B649" s="28" t="s">
        <v>524</v>
      </c>
      <c r="C649" s="28" t="str">
        <f t="shared" si="23"/>
        <v>140501</v>
      </c>
      <c r="D649" s="28" t="str">
        <f>"14.140501/2024.00789/BC.O."</f>
        <v>14.140501/2024.00789/BC.O.</v>
      </c>
      <c r="E649" s="28" t="str">
        <f>"201100006669"</f>
        <v>201100006669</v>
      </c>
      <c r="F649" s="28" t="str">
        <f t="shared" si="24"/>
        <v>CARRO/CAMILLA</v>
      </c>
      <c r="G649" s="28" t="s">
        <v>19</v>
      </c>
      <c r="H649" s="28" t="s">
        <v>20</v>
      </c>
      <c r="I649" s="29">
        <v>1</v>
      </c>
      <c r="J649" s="28" t="s">
        <v>21</v>
      </c>
      <c r="K649" s="12" t="s">
        <v>22</v>
      </c>
      <c r="L649" s="13">
        <v>150</v>
      </c>
    </row>
    <row r="650" spans="1:12" s="10" customFormat="1" ht="18" x14ac:dyDescent="0.25">
      <c r="A650" s="11">
        <v>646</v>
      </c>
      <c r="B650" s="28" t="s">
        <v>524</v>
      </c>
      <c r="C650" s="28" t="str">
        <f t="shared" si="23"/>
        <v>140501</v>
      </c>
      <c r="D650" s="28" t="str">
        <f>"14.140501/2024.00790/BC.O."</f>
        <v>14.140501/2024.00790/BC.O.</v>
      </c>
      <c r="E650" s="28" t="str">
        <f>"201100006670"</f>
        <v>201100006670</v>
      </c>
      <c r="F650" s="28" t="str">
        <f t="shared" si="24"/>
        <v>CARRO/CAMILLA</v>
      </c>
      <c r="G650" s="28" t="s">
        <v>19</v>
      </c>
      <c r="H650" s="28" t="s">
        <v>20</v>
      </c>
      <c r="I650" s="29">
        <v>1</v>
      </c>
      <c r="J650" s="28" t="s">
        <v>21</v>
      </c>
      <c r="K650" s="12" t="s">
        <v>22</v>
      </c>
      <c r="L650" s="13">
        <v>150</v>
      </c>
    </row>
    <row r="651" spans="1:12" s="10" customFormat="1" ht="18" x14ac:dyDescent="0.25">
      <c r="A651" s="11">
        <v>647</v>
      </c>
      <c r="B651" s="28" t="s">
        <v>524</v>
      </c>
      <c r="C651" s="28" t="str">
        <f t="shared" si="23"/>
        <v>140501</v>
      </c>
      <c r="D651" s="28" t="str">
        <f>"14.140501/2024.00791/BC.O."</f>
        <v>14.140501/2024.00791/BC.O.</v>
      </c>
      <c r="E651" s="28" t="str">
        <f>"201100006671"</f>
        <v>201100006671</v>
      </c>
      <c r="F651" s="28" t="str">
        <f t="shared" si="24"/>
        <v>CARRO/CAMILLA</v>
      </c>
      <c r="G651" s="28" t="s">
        <v>19</v>
      </c>
      <c r="H651" s="28" t="s">
        <v>20</v>
      </c>
      <c r="I651" s="29">
        <v>1</v>
      </c>
      <c r="J651" s="28" t="s">
        <v>21</v>
      </c>
      <c r="K651" s="12" t="s">
        <v>22</v>
      </c>
      <c r="L651" s="13">
        <v>150</v>
      </c>
    </row>
    <row r="652" spans="1:12" s="10" customFormat="1" ht="18" x14ac:dyDescent="0.25">
      <c r="A652" s="11">
        <v>648</v>
      </c>
      <c r="B652" s="28" t="s">
        <v>524</v>
      </c>
      <c r="C652" s="28" t="str">
        <f t="shared" si="23"/>
        <v>140501</v>
      </c>
      <c r="D652" s="28" t="str">
        <f>"14.140501/2024.00755/BC.O."</f>
        <v>14.140501/2024.00755/BC.O.</v>
      </c>
      <c r="E652" s="28" t="str">
        <f>"201180005098"</f>
        <v>201180005098</v>
      </c>
      <c r="F652" s="28" t="str">
        <f>"VENTILADOR/DE SOPORTE INVASIVO Y NO INVASIVO"</f>
        <v>VENTILADOR/DE SOPORTE INVASIVO Y NO INVASIVO</v>
      </c>
      <c r="G652" s="28" t="s">
        <v>19</v>
      </c>
      <c r="H652" s="28" t="s">
        <v>20</v>
      </c>
      <c r="I652" s="29">
        <v>1</v>
      </c>
      <c r="J652" s="28" t="s">
        <v>21</v>
      </c>
      <c r="K652" s="12" t="s">
        <v>22</v>
      </c>
      <c r="L652" s="13">
        <v>50</v>
      </c>
    </row>
    <row r="653" spans="1:12" s="10" customFormat="1" ht="18" x14ac:dyDescent="0.25">
      <c r="A653" s="11">
        <v>649</v>
      </c>
      <c r="B653" s="28" t="s">
        <v>524</v>
      </c>
      <c r="C653" s="28" t="str">
        <f t="shared" si="23"/>
        <v>140501</v>
      </c>
      <c r="D653" s="28" t="str">
        <f>"14.140501/2024.00756/BC.O."</f>
        <v>14.140501/2024.00756/BC.O.</v>
      </c>
      <c r="E653" s="28" t="str">
        <f>"201180005099"</f>
        <v>201180005099</v>
      </c>
      <c r="F653" s="28" t="str">
        <f>"VENTILADOR/DE SOPORTE INVASIVO Y NO INVASIVO"</f>
        <v>VENTILADOR/DE SOPORTE INVASIVO Y NO INVASIVO</v>
      </c>
      <c r="G653" s="28" t="s">
        <v>19</v>
      </c>
      <c r="H653" s="28" t="s">
        <v>20</v>
      </c>
      <c r="I653" s="29">
        <v>1</v>
      </c>
      <c r="J653" s="28" t="s">
        <v>21</v>
      </c>
      <c r="K653" s="12" t="s">
        <v>22</v>
      </c>
      <c r="L653" s="13">
        <v>50</v>
      </c>
    </row>
    <row r="654" spans="1:12" s="10" customFormat="1" ht="18" x14ac:dyDescent="0.25">
      <c r="A654" s="11">
        <v>650</v>
      </c>
      <c r="B654" s="28" t="s">
        <v>524</v>
      </c>
      <c r="C654" s="28" t="str">
        <f t="shared" si="23"/>
        <v>140501</v>
      </c>
      <c r="D654" s="28" t="str">
        <f>"14.140501/2024.00757/BC.O."</f>
        <v>14.140501/2024.00757/BC.O.</v>
      </c>
      <c r="E654" s="28" t="str">
        <f>"201180005101"</f>
        <v>201180005101</v>
      </c>
      <c r="F654" s="28" t="str">
        <f>"VENTILADOR/DE SOPORTE INVASIVO Y NO INVASIVO"</f>
        <v>VENTILADOR/DE SOPORTE INVASIVO Y NO INVASIVO</v>
      </c>
      <c r="G654" s="28" t="s">
        <v>19</v>
      </c>
      <c r="H654" s="28" t="s">
        <v>20</v>
      </c>
      <c r="I654" s="29">
        <v>1</v>
      </c>
      <c r="J654" s="28" t="s">
        <v>21</v>
      </c>
      <c r="K654" s="12" t="s">
        <v>22</v>
      </c>
      <c r="L654" s="13">
        <v>50</v>
      </c>
    </row>
    <row r="655" spans="1:12" s="10" customFormat="1" ht="18" x14ac:dyDescent="0.25">
      <c r="A655" s="11">
        <v>651</v>
      </c>
      <c r="B655" s="28" t="s">
        <v>524</v>
      </c>
      <c r="C655" s="28" t="str">
        <f t="shared" si="23"/>
        <v>140501</v>
      </c>
      <c r="D655" s="28" t="str">
        <f>"14.140501/2024.00758/BC.O."</f>
        <v>14.140501/2024.00758/BC.O.</v>
      </c>
      <c r="E655" s="28" t="str">
        <f>"201180005102"</f>
        <v>201180005102</v>
      </c>
      <c r="F655" s="28" t="str">
        <f>"VENTILADOR/DE SOPORTE INVASIVO Y NO INVASIVO"</f>
        <v>VENTILADOR/DE SOPORTE INVASIVO Y NO INVASIVO</v>
      </c>
      <c r="G655" s="28" t="s">
        <v>19</v>
      </c>
      <c r="H655" s="28" t="s">
        <v>20</v>
      </c>
      <c r="I655" s="29">
        <v>1</v>
      </c>
      <c r="J655" s="28" t="s">
        <v>21</v>
      </c>
      <c r="K655" s="12" t="s">
        <v>22</v>
      </c>
      <c r="L655" s="13">
        <v>50</v>
      </c>
    </row>
    <row r="656" spans="1:12" s="10" customFormat="1" ht="18" x14ac:dyDescent="0.25">
      <c r="A656" s="11">
        <v>652</v>
      </c>
      <c r="B656" s="28" t="s">
        <v>524</v>
      </c>
      <c r="C656" s="28" t="str">
        <f t="shared" si="23"/>
        <v>140501</v>
      </c>
      <c r="D656" s="28" t="str">
        <f>"14.140501/2024.00759/BC.O."</f>
        <v>14.140501/2024.00759/BC.O.</v>
      </c>
      <c r="E656" s="28" t="str">
        <f>"201180005104"</f>
        <v>201180005104</v>
      </c>
      <c r="F656" s="28" t="str">
        <f>"VENTILADOR/PARA TERAPIA INTENSIVA"</f>
        <v>VENTILADOR/PARA TERAPIA INTENSIVA</v>
      </c>
      <c r="G656" s="28" t="s">
        <v>19</v>
      </c>
      <c r="H656" s="28" t="s">
        <v>20</v>
      </c>
      <c r="I656" s="29">
        <v>1</v>
      </c>
      <c r="J656" s="28" t="s">
        <v>21</v>
      </c>
      <c r="K656" s="12" t="s">
        <v>22</v>
      </c>
      <c r="L656" s="13">
        <v>50</v>
      </c>
    </row>
    <row r="657" spans="1:12" s="10" customFormat="1" ht="18" x14ac:dyDescent="0.25">
      <c r="A657" s="11">
        <v>653</v>
      </c>
      <c r="B657" s="28" t="s">
        <v>524</v>
      </c>
      <c r="C657" s="28" t="str">
        <f t="shared" si="23"/>
        <v>140501</v>
      </c>
      <c r="D657" s="28" t="str">
        <f>"14.140501/2024.00760/BC.O."</f>
        <v>14.140501/2024.00760/BC.O.</v>
      </c>
      <c r="E657" s="28" t="str">
        <f>"201180005105"</f>
        <v>201180005105</v>
      </c>
      <c r="F657" s="28" t="str">
        <f>"VENTILADOR/PARA TERAPIA INTENSIVA"</f>
        <v>VENTILADOR/PARA TERAPIA INTENSIVA</v>
      </c>
      <c r="G657" s="28" t="s">
        <v>19</v>
      </c>
      <c r="H657" s="28" t="s">
        <v>20</v>
      </c>
      <c r="I657" s="29">
        <v>1</v>
      </c>
      <c r="J657" s="28" t="s">
        <v>21</v>
      </c>
      <c r="K657" s="12" t="s">
        <v>22</v>
      </c>
      <c r="L657" s="13">
        <v>50</v>
      </c>
    </row>
    <row r="658" spans="1:12" s="10" customFormat="1" ht="18" x14ac:dyDescent="0.25">
      <c r="A658" s="11">
        <v>654</v>
      </c>
      <c r="B658" s="28" t="s">
        <v>524</v>
      </c>
      <c r="C658" s="28" t="str">
        <f t="shared" si="23"/>
        <v>140501</v>
      </c>
      <c r="D658" s="28" t="str">
        <f>"14.140501/2024.00773/BC.O."</f>
        <v>14.140501/2024.00773/BC.O.</v>
      </c>
      <c r="E658" s="28" t="str">
        <f>"201200000696"</f>
        <v>201200000696</v>
      </c>
      <c r="F658" s="28" t="str">
        <f>"ELECTROCARDIOGRAFO/REGISTRADOR DE 2 CANALES O MAS"</f>
        <v>ELECTROCARDIOGRAFO/REGISTRADOR DE 2 CANALES O MAS</v>
      </c>
      <c r="G658" s="28" t="s">
        <v>19</v>
      </c>
      <c r="H658" s="28" t="s">
        <v>20</v>
      </c>
      <c r="I658" s="29">
        <v>1</v>
      </c>
      <c r="J658" s="28" t="s">
        <v>21</v>
      </c>
      <c r="K658" s="12" t="s">
        <v>22</v>
      </c>
      <c r="L658" s="13">
        <v>250</v>
      </c>
    </row>
    <row r="659" spans="1:12" s="10" customFormat="1" ht="18" x14ac:dyDescent="0.25">
      <c r="A659" s="11">
        <v>655</v>
      </c>
      <c r="B659" s="28" t="s">
        <v>524</v>
      </c>
      <c r="C659" s="28" t="str">
        <f t="shared" si="23"/>
        <v>140501</v>
      </c>
      <c r="D659" s="28" t="str">
        <f>"14.140501/2024.00826/BC.O."</f>
        <v>14.140501/2024.00826/BC.O.</v>
      </c>
      <c r="E659" s="28" t="str">
        <f>"201780000269"</f>
        <v>201780000269</v>
      </c>
      <c r="F659" s="28" t="str">
        <f t="shared" ref="F659:F667" si="25">"SILLA/MODELO ESPECIAL"</f>
        <v>SILLA/MODELO ESPECIAL</v>
      </c>
      <c r="G659" s="28" t="s">
        <v>19</v>
      </c>
      <c r="H659" s="28" t="s">
        <v>20</v>
      </c>
      <c r="I659" s="29">
        <v>1</v>
      </c>
      <c r="J659" s="28" t="s">
        <v>21</v>
      </c>
      <c r="K659" s="12" t="s">
        <v>22</v>
      </c>
      <c r="L659" s="13">
        <v>25</v>
      </c>
    </row>
    <row r="660" spans="1:12" s="10" customFormat="1" ht="18" x14ac:dyDescent="0.25">
      <c r="A660" s="11">
        <v>656</v>
      </c>
      <c r="B660" s="28" t="s">
        <v>524</v>
      </c>
      <c r="C660" s="28" t="str">
        <f t="shared" si="23"/>
        <v>140501</v>
      </c>
      <c r="D660" s="28" t="str">
        <f>"14.140501/2024.00827/BC.O."</f>
        <v>14.140501/2024.00827/BC.O.</v>
      </c>
      <c r="E660" s="28" t="str">
        <f>"201780000270"</f>
        <v>201780000270</v>
      </c>
      <c r="F660" s="28" t="str">
        <f t="shared" si="25"/>
        <v>SILLA/MODELO ESPECIAL</v>
      </c>
      <c r="G660" s="28" t="s">
        <v>19</v>
      </c>
      <c r="H660" s="28" t="s">
        <v>20</v>
      </c>
      <c r="I660" s="29">
        <v>1</v>
      </c>
      <c r="J660" s="28" t="s">
        <v>21</v>
      </c>
      <c r="K660" s="12" t="s">
        <v>22</v>
      </c>
      <c r="L660" s="13">
        <v>25</v>
      </c>
    </row>
    <row r="661" spans="1:12" s="10" customFormat="1" ht="18" x14ac:dyDescent="0.25">
      <c r="A661" s="11">
        <v>657</v>
      </c>
      <c r="B661" s="28" t="s">
        <v>524</v>
      </c>
      <c r="C661" s="28" t="str">
        <f t="shared" si="23"/>
        <v>140501</v>
      </c>
      <c r="D661" s="28" t="str">
        <f>"14.140501/2024.00804/BC.O."</f>
        <v>14.140501/2024.00804/BC.O.</v>
      </c>
      <c r="E661" s="28" t="str">
        <f>"201780000274"</f>
        <v>201780000274</v>
      </c>
      <c r="F661" s="28" t="str">
        <f t="shared" si="25"/>
        <v>SILLA/MODELO ESPECIAL</v>
      </c>
      <c r="G661" s="28" t="s">
        <v>19</v>
      </c>
      <c r="H661" s="28" t="s">
        <v>20</v>
      </c>
      <c r="I661" s="29">
        <v>1</v>
      </c>
      <c r="J661" s="28" t="s">
        <v>21</v>
      </c>
      <c r="K661" s="12" t="s">
        <v>22</v>
      </c>
      <c r="L661" s="13">
        <v>25</v>
      </c>
    </row>
    <row r="662" spans="1:12" s="10" customFormat="1" ht="18" x14ac:dyDescent="0.25">
      <c r="A662" s="11">
        <v>658</v>
      </c>
      <c r="B662" s="28" t="s">
        <v>524</v>
      </c>
      <c r="C662" s="28" t="str">
        <f t="shared" si="23"/>
        <v>140501</v>
      </c>
      <c r="D662" s="28" t="str">
        <f>"14.140501/2024.00805/BC.O."</f>
        <v>14.140501/2024.00805/BC.O.</v>
      </c>
      <c r="E662" s="28" t="str">
        <f>"201780000275"</f>
        <v>201780000275</v>
      </c>
      <c r="F662" s="28" t="str">
        <f t="shared" si="25"/>
        <v>SILLA/MODELO ESPECIAL</v>
      </c>
      <c r="G662" s="28" t="s">
        <v>19</v>
      </c>
      <c r="H662" s="28" t="s">
        <v>20</v>
      </c>
      <c r="I662" s="29">
        <v>1</v>
      </c>
      <c r="J662" s="28" t="s">
        <v>21</v>
      </c>
      <c r="K662" s="12" t="s">
        <v>22</v>
      </c>
      <c r="L662" s="13">
        <v>25</v>
      </c>
    </row>
    <row r="663" spans="1:12" s="10" customFormat="1" ht="18" x14ac:dyDescent="0.25">
      <c r="A663" s="11">
        <v>659</v>
      </c>
      <c r="B663" s="28" t="s">
        <v>524</v>
      </c>
      <c r="C663" s="28" t="str">
        <f t="shared" si="23"/>
        <v>140501</v>
      </c>
      <c r="D663" s="28" t="str">
        <f>"14.140501/2024.00824/BC.O."</f>
        <v>14.140501/2024.00824/BC.O.</v>
      </c>
      <c r="E663" s="28" t="str">
        <f>"201780000277"</f>
        <v>201780000277</v>
      </c>
      <c r="F663" s="28" t="str">
        <f t="shared" si="25"/>
        <v>SILLA/MODELO ESPECIAL</v>
      </c>
      <c r="G663" s="28" t="s">
        <v>19</v>
      </c>
      <c r="H663" s="28" t="s">
        <v>20</v>
      </c>
      <c r="I663" s="29">
        <v>1</v>
      </c>
      <c r="J663" s="28" t="s">
        <v>21</v>
      </c>
      <c r="K663" s="12" t="s">
        <v>22</v>
      </c>
      <c r="L663" s="13">
        <v>25</v>
      </c>
    </row>
    <row r="664" spans="1:12" s="10" customFormat="1" ht="18" x14ac:dyDescent="0.25">
      <c r="A664" s="11">
        <v>660</v>
      </c>
      <c r="B664" s="28" t="s">
        <v>524</v>
      </c>
      <c r="C664" s="28" t="str">
        <f t="shared" si="23"/>
        <v>140501</v>
      </c>
      <c r="D664" s="28" t="str">
        <f>"14.140501/2024.00799/BC.O."</f>
        <v>14.140501/2024.00799/BC.O.</v>
      </c>
      <c r="E664" s="28" t="str">
        <f>"201780000278"</f>
        <v>201780000278</v>
      </c>
      <c r="F664" s="28" t="str">
        <f t="shared" si="25"/>
        <v>SILLA/MODELO ESPECIAL</v>
      </c>
      <c r="G664" s="28" t="s">
        <v>19</v>
      </c>
      <c r="H664" s="28" t="s">
        <v>20</v>
      </c>
      <c r="I664" s="29">
        <v>1</v>
      </c>
      <c r="J664" s="28" t="s">
        <v>21</v>
      </c>
      <c r="K664" s="12" t="s">
        <v>22</v>
      </c>
      <c r="L664" s="13">
        <v>25</v>
      </c>
    </row>
    <row r="665" spans="1:12" s="10" customFormat="1" ht="18" x14ac:dyDescent="0.25">
      <c r="A665" s="11">
        <v>661</v>
      </c>
      <c r="B665" s="28" t="s">
        <v>524</v>
      </c>
      <c r="C665" s="28" t="str">
        <f t="shared" si="23"/>
        <v>140501</v>
      </c>
      <c r="D665" s="28" t="str">
        <f>"14.140501/2024.00800/BC.O."</f>
        <v>14.140501/2024.00800/BC.O.</v>
      </c>
      <c r="E665" s="28" t="str">
        <f>"201780000279"</f>
        <v>201780000279</v>
      </c>
      <c r="F665" s="28" t="str">
        <f t="shared" si="25"/>
        <v>SILLA/MODELO ESPECIAL</v>
      </c>
      <c r="G665" s="28" t="s">
        <v>19</v>
      </c>
      <c r="H665" s="28" t="s">
        <v>20</v>
      </c>
      <c r="I665" s="29">
        <v>1</v>
      </c>
      <c r="J665" s="28" t="s">
        <v>21</v>
      </c>
      <c r="K665" s="12" t="s">
        <v>22</v>
      </c>
      <c r="L665" s="13">
        <v>25</v>
      </c>
    </row>
    <row r="666" spans="1:12" s="10" customFormat="1" ht="18" x14ac:dyDescent="0.25">
      <c r="A666" s="11">
        <v>662</v>
      </c>
      <c r="B666" s="28" t="s">
        <v>524</v>
      </c>
      <c r="C666" s="28" t="str">
        <f t="shared" si="23"/>
        <v>140501</v>
      </c>
      <c r="D666" s="28" t="str">
        <f>"14.140501/2024.00839/BC.O."</f>
        <v>14.140501/2024.00839/BC.O.</v>
      </c>
      <c r="E666" s="28" t="str">
        <f>"201780000280"</f>
        <v>201780000280</v>
      </c>
      <c r="F666" s="28" t="str">
        <f t="shared" si="25"/>
        <v>SILLA/MODELO ESPECIAL</v>
      </c>
      <c r="G666" s="28" t="s">
        <v>19</v>
      </c>
      <c r="H666" s="28" t="s">
        <v>20</v>
      </c>
      <c r="I666" s="29">
        <v>1</v>
      </c>
      <c r="J666" s="28" t="s">
        <v>21</v>
      </c>
      <c r="K666" s="12" t="s">
        <v>22</v>
      </c>
      <c r="L666" s="13">
        <v>25</v>
      </c>
    </row>
    <row r="667" spans="1:12" s="10" customFormat="1" ht="18" x14ac:dyDescent="0.25">
      <c r="A667" s="11">
        <v>663</v>
      </c>
      <c r="B667" s="28" t="s">
        <v>524</v>
      </c>
      <c r="C667" s="28" t="str">
        <f t="shared" si="23"/>
        <v>140501</v>
      </c>
      <c r="D667" s="28" t="str">
        <f>"14.140501/2024.00840/BC.O."</f>
        <v>14.140501/2024.00840/BC.O.</v>
      </c>
      <c r="E667" s="28" t="str">
        <f>"201780000281"</f>
        <v>201780000281</v>
      </c>
      <c r="F667" s="28" t="str">
        <f t="shared" si="25"/>
        <v>SILLA/MODELO ESPECIAL</v>
      </c>
      <c r="G667" s="28" t="s">
        <v>19</v>
      </c>
      <c r="H667" s="28" t="s">
        <v>20</v>
      </c>
      <c r="I667" s="29">
        <v>1</v>
      </c>
      <c r="J667" s="28" t="s">
        <v>21</v>
      </c>
      <c r="K667" s="12" t="s">
        <v>22</v>
      </c>
      <c r="L667" s="13">
        <v>25</v>
      </c>
    </row>
    <row r="668" spans="1:12" s="10" customFormat="1" ht="18" x14ac:dyDescent="0.25">
      <c r="A668" s="11">
        <v>664</v>
      </c>
      <c r="B668" s="28" t="s">
        <v>524</v>
      </c>
      <c r="C668" s="28" t="str">
        <f t="shared" si="23"/>
        <v>140501</v>
      </c>
      <c r="D668" s="28" t="str">
        <f>"14.140501/2024.00825/BC.O."</f>
        <v>14.140501/2024.00825/BC.O.</v>
      </c>
      <c r="E668" s="28" t="str">
        <f>"201880024542"</f>
        <v>201880024542</v>
      </c>
      <c r="F668" s="28" t="str">
        <f>"MOBILIARIO DE ADMINISTRACIÓN"</f>
        <v>MOBILIARIO DE ADMINISTRACIÓN</v>
      </c>
      <c r="G668" s="28" t="s">
        <v>19</v>
      </c>
      <c r="H668" s="28" t="s">
        <v>20</v>
      </c>
      <c r="I668" s="29">
        <v>1</v>
      </c>
      <c r="J668" s="28" t="s">
        <v>21</v>
      </c>
      <c r="K668" s="12" t="s">
        <v>22</v>
      </c>
      <c r="L668" s="13">
        <v>50</v>
      </c>
    </row>
    <row r="669" spans="1:12" s="10" customFormat="1" ht="18" x14ac:dyDescent="0.25">
      <c r="A669" s="11">
        <v>665</v>
      </c>
      <c r="B669" s="28" t="s">
        <v>524</v>
      </c>
      <c r="C669" s="28" t="str">
        <f t="shared" si="23"/>
        <v>140501</v>
      </c>
      <c r="D669" s="28" t="str">
        <f>"14.140501/2024.00676/BC.I."</f>
        <v>14.140501/2024.00676/BC.I.</v>
      </c>
      <c r="E669" s="28" t="str">
        <f>"200580085949"</f>
        <v>200580085949</v>
      </c>
      <c r="F669" s="28" t="str">
        <f t="shared" ref="F669:F709" si="26">"COMPUTADORA/MICROCOMPUTADORA"</f>
        <v>COMPUTADORA/MICROCOMPUTADORA</v>
      </c>
      <c r="G669" s="28" t="s">
        <v>19</v>
      </c>
      <c r="H669" s="28" t="s">
        <v>20</v>
      </c>
      <c r="I669" s="29">
        <v>1</v>
      </c>
      <c r="J669" s="28" t="s">
        <v>21</v>
      </c>
      <c r="K669" s="12" t="s">
        <v>22</v>
      </c>
      <c r="L669" s="13">
        <v>35</v>
      </c>
    </row>
    <row r="670" spans="1:12" s="10" customFormat="1" ht="18" x14ac:dyDescent="0.25">
      <c r="A670" s="11">
        <v>666</v>
      </c>
      <c r="B670" s="28" t="s">
        <v>524</v>
      </c>
      <c r="C670" s="28" t="str">
        <f t="shared" si="23"/>
        <v>140501</v>
      </c>
      <c r="D670" s="28" t="str">
        <f>"14.140501/2024.00666/BC.I."</f>
        <v>14.140501/2024.00666/BC.I.</v>
      </c>
      <c r="E670" s="28" t="str">
        <f>"200580085979"</f>
        <v>200580085979</v>
      </c>
      <c r="F670" s="28" t="str">
        <f t="shared" si="26"/>
        <v>COMPUTADORA/MICROCOMPUTADORA</v>
      </c>
      <c r="G670" s="28" t="s">
        <v>19</v>
      </c>
      <c r="H670" s="28" t="s">
        <v>20</v>
      </c>
      <c r="I670" s="29">
        <v>1</v>
      </c>
      <c r="J670" s="28" t="s">
        <v>21</v>
      </c>
      <c r="K670" s="12" t="s">
        <v>22</v>
      </c>
      <c r="L670" s="13">
        <v>35</v>
      </c>
    </row>
    <row r="671" spans="1:12" s="10" customFormat="1" ht="18" x14ac:dyDescent="0.25">
      <c r="A671" s="11">
        <v>667</v>
      </c>
      <c r="B671" s="28" t="s">
        <v>524</v>
      </c>
      <c r="C671" s="28" t="str">
        <f t="shared" si="23"/>
        <v>140501</v>
      </c>
      <c r="D671" s="28" t="str">
        <f>"14.140501/2024.00694/BC.I."</f>
        <v>14.140501/2024.00694/BC.I.</v>
      </c>
      <c r="E671" s="28" t="str">
        <f>"200580086009"</f>
        <v>200580086009</v>
      </c>
      <c r="F671" s="28" t="str">
        <f t="shared" si="26"/>
        <v>COMPUTADORA/MICROCOMPUTADORA</v>
      </c>
      <c r="G671" s="28" t="s">
        <v>19</v>
      </c>
      <c r="H671" s="28" t="s">
        <v>20</v>
      </c>
      <c r="I671" s="29">
        <v>1</v>
      </c>
      <c r="J671" s="28" t="s">
        <v>21</v>
      </c>
      <c r="K671" s="12" t="s">
        <v>22</v>
      </c>
      <c r="L671" s="13">
        <v>35</v>
      </c>
    </row>
    <row r="672" spans="1:12" s="10" customFormat="1" ht="18" x14ac:dyDescent="0.25">
      <c r="A672" s="11">
        <v>668</v>
      </c>
      <c r="B672" s="28" t="s">
        <v>524</v>
      </c>
      <c r="C672" s="28" t="str">
        <f t="shared" si="23"/>
        <v>140501</v>
      </c>
      <c r="D672" s="28" t="str">
        <f>"14.140501/2024.00721/BC.I."</f>
        <v>14.140501/2024.00721/BC.I.</v>
      </c>
      <c r="E672" s="28" t="str">
        <f>"200580086019"</f>
        <v>200580086019</v>
      </c>
      <c r="F672" s="28" t="str">
        <f t="shared" si="26"/>
        <v>COMPUTADORA/MICROCOMPUTADORA</v>
      </c>
      <c r="G672" s="28" t="s">
        <v>19</v>
      </c>
      <c r="H672" s="28" t="s">
        <v>20</v>
      </c>
      <c r="I672" s="29">
        <v>1</v>
      </c>
      <c r="J672" s="28" t="s">
        <v>21</v>
      </c>
      <c r="K672" s="12" t="s">
        <v>22</v>
      </c>
      <c r="L672" s="13">
        <v>35</v>
      </c>
    </row>
    <row r="673" spans="1:12" s="10" customFormat="1" ht="18" x14ac:dyDescent="0.25">
      <c r="A673" s="11">
        <v>669</v>
      </c>
      <c r="B673" s="28" t="s">
        <v>524</v>
      </c>
      <c r="C673" s="28" t="str">
        <f t="shared" si="23"/>
        <v>140501</v>
      </c>
      <c r="D673" s="28" t="str">
        <f>"14.140501/2024.00671/BC.I."</f>
        <v>14.140501/2024.00671/BC.I.</v>
      </c>
      <c r="E673" s="28" t="str">
        <f>"200580086337"</f>
        <v>200580086337</v>
      </c>
      <c r="F673" s="28" t="str">
        <f t="shared" si="26"/>
        <v>COMPUTADORA/MICROCOMPUTADORA</v>
      </c>
      <c r="G673" s="28" t="s">
        <v>19</v>
      </c>
      <c r="H673" s="28" t="s">
        <v>20</v>
      </c>
      <c r="I673" s="29">
        <v>1</v>
      </c>
      <c r="J673" s="28" t="s">
        <v>21</v>
      </c>
      <c r="K673" s="12" t="s">
        <v>22</v>
      </c>
      <c r="L673" s="13">
        <v>35</v>
      </c>
    </row>
    <row r="674" spans="1:12" s="10" customFormat="1" ht="18" x14ac:dyDescent="0.25">
      <c r="A674" s="11">
        <v>670</v>
      </c>
      <c r="B674" s="28" t="s">
        <v>524</v>
      </c>
      <c r="C674" s="28" t="str">
        <f t="shared" si="23"/>
        <v>140501</v>
      </c>
      <c r="D674" s="28" t="str">
        <f>"14.140501/2024.00667/BC.I."</f>
        <v>14.140501/2024.00667/BC.I.</v>
      </c>
      <c r="E674" s="28" t="str">
        <f>"200580086346"</f>
        <v>200580086346</v>
      </c>
      <c r="F674" s="28" t="str">
        <f t="shared" si="26"/>
        <v>COMPUTADORA/MICROCOMPUTADORA</v>
      </c>
      <c r="G674" s="28" t="s">
        <v>19</v>
      </c>
      <c r="H674" s="28" t="s">
        <v>20</v>
      </c>
      <c r="I674" s="29">
        <v>1</v>
      </c>
      <c r="J674" s="28" t="s">
        <v>21</v>
      </c>
      <c r="K674" s="12" t="s">
        <v>22</v>
      </c>
      <c r="L674" s="13">
        <v>35</v>
      </c>
    </row>
    <row r="675" spans="1:12" s="10" customFormat="1" ht="18" x14ac:dyDescent="0.25">
      <c r="A675" s="11">
        <v>671</v>
      </c>
      <c r="B675" s="28" t="s">
        <v>524</v>
      </c>
      <c r="C675" s="28" t="str">
        <f t="shared" si="23"/>
        <v>140501</v>
      </c>
      <c r="D675" s="28" t="str">
        <f>"14.140501/2024.00722/BC.I."</f>
        <v>14.140501/2024.00722/BC.I.</v>
      </c>
      <c r="E675" s="28" t="str">
        <f>"200580086354"</f>
        <v>200580086354</v>
      </c>
      <c r="F675" s="28" t="str">
        <f t="shared" si="26"/>
        <v>COMPUTADORA/MICROCOMPUTADORA</v>
      </c>
      <c r="G675" s="28" t="s">
        <v>19</v>
      </c>
      <c r="H675" s="28" t="s">
        <v>20</v>
      </c>
      <c r="I675" s="29">
        <v>1</v>
      </c>
      <c r="J675" s="28" t="s">
        <v>21</v>
      </c>
      <c r="K675" s="12" t="s">
        <v>22</v>
      </c>
      <c r="L675" s="13">
        <v>35</v>
      </c>
    </row>
    <row r="676" spans="1:12" s="10" customFormat="1" ht="18" x14ac:dyDescent="0.25">
      <c r="A676" s="11">
        <v>672</v>
      </c>
      <c r="B676" s="28" t="s">
        <v>524</v>
      </c>
      <c r="C676" s="28" t="str">
        <f t="shared" si="23"/>
        <v>140501</v>
      </c>
      <c r="D676" s="28" t="str">
        <f>"14.140501/2024.00674/BC.I."</f>
        <v>14.140501/2024.00674/BC.I.</v>
      </c>
      <c r="E676" s="28" t="str">
        <f>"200580086360"</f>
        <v>200580086360</v>
      </c>
      <c r="F676" s="28" t="str">
        <f t="shared" si="26"/>
        <v>COMPUTADORA/MICROCOMPUTADORA</v>
      </c>
      <c r="G676" s="28" t="s">
        <v>19</v>
      </c>
      <c r="H676" s="28" t="s">
        <v>20</v>
      </c>
      <c r="I676" s="29">
        <v>1</v>
      </c>
      <c r="J676" s="28" t="s">
        <v>21</v>
      </c>
      <c r="K676" s="12" t="s">
        <v>22</v>
      </c>
      <c r="L676" s="13">
        <v>35</v>
      </c>
    </row>
    <row r="677" spans="1:12" s="10" customFormat="1" ht="18" x14ac:dyDescent="0.25">
      <c r="A677" s="11">
        <v>673</v>
      </c>
      <c r="B677" s="28" t="s">
        <v>524</v>
      </c>
      <c r="C677" s="28" t="str">
        <f t="shared" si="23"/>
        <v>140501</v>
      </c>
      <c r="D677" s="28" t="str">
        <f>"14.140501/2024.00732/BC.I."</f>
        <v>14.140501/2024.00732/BC.I.</v>
      </c>
      <c r="E677" s="28" t="str">
        <f>"200580086369"</f>
        <v>200580086369</v>
      </c>
      <c r="F677" s="28" t="str">
        <f t="shared" si="26"/>
        <v>COMPUTADORA/MICROCOMPUTADORA</v>
      </c>
      <c r="G677" s="28" t="s">
        <v>19</v>
      </c>
      <c r="H677" s="28" t="s">
        <v>20</v>
      </c>
      <c r="I677" s="29">
        <v>1</v>
      </c>
      <c r="J677" s="28" t="s">
        <v>21</v>
      </c>
      <c r="K677" s="12" t="s">
        <v>22</v>
      </c>
      <c r="L677" s="13">
        <v>35</v>
      </c>
    </row>
    <row r="678" spans="1:12" s="10" customFormat="1" ht="18" x14ac:dyDescent="0.25">
      <c r="A678" s="11">
        <v>674</v>
      </c>
      <c r="B678" s="28" t="s">
        <v>524</v>
      </c>
      <c r="C678" s="28" t="str">
        <f t="shared" si="23"/>
        <v>140501</v>
      </c>
      <c r="D678" s="28" t="str">
        <f>"14.140501/2024.00679/BC.I."</f>
        <v>14.140501/2024.00679/BC.I.</v>
      </c>
      <c r="E678" s="28" t="str">
        <f>"200580086569"</f>
        <v>200580086569</v>
      </c>
      <c r="F678" s="28" t="str">
        <f t="shared" si="26"/>
        <v>COMPUTADORA/MICROCOMPUTADORA</v>
      </c>
      <c r="G678" s="28" t="s">
        <v>19</v>
      </c>
      <c r="H678" s="28" t="s">
        <v>20</v>
      </c>
      <c r="I678" s="29">
        <v>1</v>
      </c>
      <c r="J678" s="28" t="s">
        <v>21</v>
      </c>
      <c r="K678" s="12" t="s">
        <v>22</v>
      </c>
      <c r="L678" s="13">
        <v>35</v>
      </c>
    </row>
    <row r="679" spans="1:12" s="10" customFormat="1" ht="18" x14ac:dyDescent="0.25">
      <c r="A679" s="11">
        <v>675</v>
      </c>
      <c r="B679" s="28" t="s">
        <v>524</v>
      </c>
      <c r="C679" s="28" t="str">
        <f t="shared" si="23"/>
        <v>140501</v>
      </c>
      <c r="D679" s="28" t="str">
        <f>"14.140501/2024.00733/BC.I."</f>
        <v>14.140501/2024.00733/BC.I.</v>
      </c>
      <c r="E679" s="28" t="str">
        <f>"200880020499"</f>
        <v>200880020499</v>
      </c>
      <c r="F679" s="28" t="str">
        <f t="shared" si="26"/>
        <v>COMPUTADORA/MICROCOMPUTADORA</v>
      </c>
      <c r="G679" s="28" t="s">
        <v>19</v>
      </c>
      <c r="H679" s="28" t="s">
        <v>20</v>
      </c>
      <c r="I679" s="29">
        <v>1</v>
      </c>
      <c r="J679" s="28" t="s">
        <v>21</v>
      </c>
      <c r="K679" s="12" t="s">
        <v>22</v>
      </c>
      <c r="L679" s="13">
        <v>35</v>
      </c>
    </row>
    <row r="680" spans="1:12" s="10" customFormat="1" ht="18" x14ac:dyDescent="0.25">
      <c r="A680" s="11">
        <v>676</v>
      </c>
      <c r="B680" s="28" t="s">
        <v>524</v>
      </c>
      <c r="C680" s="28" t="str">
        <f t="shared" si="23"/>
        <v>140501</v>
      </c>
      <c r="D680" s="28" t="str">
        <f>"14.140501/2024.00687/BC.I."</f>
        <v>14.140501/2024.00687/BC.I.</v>
      </c>
      <c r="E680" s="28" t="str">
        <f>"200880020615"</f>
        <v>200880020615</v>
      </c>
      <c r="F680" s="28" t="str">
        <f t="shared" si="26"/>
        <v>COMPUTADORA/MICROCOMPUTADORA</v>
      </c>
      <c r="G680" s="28" t="s">
        <v>19</v>
      </c>
      <c r="H680" s="28" t="s">
        <v>20</v>
      </c>
      <c r="I680" s="29">
        <v>1</v>
      </c>
      <c r="J680" s="28" t="s">
        <v>21</v>
      </c>
      <c r="K680" s="12" t="s">
        <v>22</v>
      </c>
      <c r="L680" s="13">
        <v>35</v>
      </c>
    </row>
    <row r="681" spans="1:12" s="10" customFormat="1" ht="18" x14ac:dyDescent="0.25">
      <c r="A681" s="11">
        <v>677</v>
      </c>
      <c r="B681" s="28" t="s">
        <v>524</v>
      </c>
      <c r="C681" s="28" t="str">
        <f t="shared" si="23"/>
        <v>140501</v>
      </c>
      <c r="D681" s="28" t="str">
        <f>"14.140501/2024.00668/BC.I."</f>
        <v>14.140501/2024.00668/BC.I.</v>
      </c>
      <c r="E681" s="28" t="str">
        <f>"200880021046"</f>
        <v>200880021046</v>
      </c>
      <c r="F681" s="28" t="str">
        <f t="shared" si="26"/>
        <v>COMPUTADORA/MICROCOMPUTADORA</v>
      </c>
      <c r="G681" s="28" t="s">
        <v>19</v>
      </c>
      <c r="H681" s="28" t="s">
        <v>20</v>
      </c>
      <c r="I681" s="29">
        <v>1</v>
      </c>
      <c r="J681" s="28" t="s">
        <v>21</v>
      </c>
      <c r="K681" s="12" t="s">
        <v>22</v>
      </c>
      <c r="L681" s="13">
        <v>35</v>
      </c>
    </row>
    <row r="682" spans="1:12" s="10" customFormat="1" ht="18" x14ac:dyDescent="0.25">
      <c r="A682" s="11">
        <v>678</v>
      </c>
      <c r="B682" s="28" t="s">
        <v>524</v>
      </c>
      <c r="C682" s="28" t="str">
        <f t="shared" si="23"/>
        <v>140501</v>
      </c>
      <c r="D682" s="28" t="str">
        <f>"14.140501/2024.00688/BC.I."</f>
        <v>14.140501/2024.00688/BC.I.</v>
      </c>
      <c r="E682" s="28" t="str">
        <f>"200880021323"</f>
        <v>200880021323</v>
      </c>
      <c r="F682" s="28" t="str">
        <f t="shared" si="26"/>
        <v>COMPUTADORA/MICROCOMPUTADORA</v>
      </c>
      <c r="G682" s="28" t="s">
        <v>19</v>
      </c>
      <c r="H682" s="28" t="s">
        <v>20</v>
      </c>
      <c r="I682" s="29">
        <v>1</v>
      </c>
      <c r="J682" s="28" t="s">
        <v>21</v>
      </c>
      <c r="K682" s="12" t="s">
        <v>22</v>
      </c>
      <c r="L682" s="13">
        <v>35</v>
      </c>
    </row>
    <row r="683" spans="1:12" s="10" customFormat="1" ht="18" x14ac:dyDescent="0.25">
      <c r="A683" s="11">
        <v>679</v>
      </c>
      <c r="B683" s="28" t="s">
        <v>524</v>
      </c>
      <c r="C683" s="28" t="str">
        <f t="shared" si="23"/>
        <v>140501</v>
      </c>
      <c r="D683" s="28" t="str">
        <f>"14.140501/2024.00677/BC.I."</f>
        <v>14.140501/2024.00677/BC.I.</v>
      </c>
      <c r="E683" s="28" t="str">
        <f>"200880030389"</f>
        <v>200880030389</v>
      </c>
      <c r="F683" s="28" t="str">
        <f t="shared" si="26"/>
        <v>COMPUTADORA/MICROCOMPUTADORA</v>
      </c>
      <c r="G683" s="28" t="s">
        <v>19</v>
      </c>
      <c r="H683" s="28" t="s">
        <v>20</v>
      </c>
      <c r="I683" s="29">
        <v>1</v>
      </c>
      <c r="J683" s="28" t="s">
        <v>21</v>
      </c>
      <c r="K683" s="12" t="s">
        <v>22</v>
      </c>
      <c r="L683" s="13">
        <v>35</v>
      </c>
    </row>
    <row r="684" spans="1:12" s="10" customFormat="1" ht="18" x14ac:dyDescent="0.25">
      <c r="A684" s="11">
        <v>680</v>
      </c>
      <c r="B684" s="28" t="s">
        <v>524</v>
      </c>
      <c r="C684" s="28" t="str">
        <f t="shared" si="23"/>
        <v>140501</v>
      </c>
      <c r="D684" s="28" t="str">
        <f>"14.140501/2024.00680/BC.I."</f>
        <v>14.140501/2024.00680/BC.I.</v>
      </c>
      <c r="E684" s="28" t="str">
        <f>"200880051788"</f>
        <v>200880051788</v>
      </c>
      <c r="F684" s="28" t="str">
        <f t="shared" si="26"/>
        <v>COMPUTADORA/MICROCOMPUTADORA</v>
      </c>
      <c r="G684" s="28" t="s">
        <v>19</v>
      </c>
      <c r="H684" s="28" t="s">
        <v>20</v>
      </c>
      <c r="I684" s="29">
        <v>1</v>
      </c>
      <c r="J684" s="28" t="s">
        <v>21</v>
      </c>
      <c r="K684" s="12" t="s">
        <v>22</v>
      </c>
      <c r="L684" s="13">
        <v>35</v>
      </c>
    </row>
    <row r="685" spans="1:12" s="10" customFormat="1" ht="18" x14ac:dyDescent="0.25">
      <c r="A685" s="11">
        <v>681</v>
      </c>
      <c r="B685" s="28" t="s">
        <v>524</v>
      </c>
      <c r="C685" s="28" t="str">
        <f t="shared" si="23"/>
        <v>140501</v>
      </c>
      <c r="D685" s="28" t="str">
        <f>"14.140501/2024.00678/BC.I."</f>
        <v>14.140501/2024.00678/BC.I.</v>
      </c>
      <c r="E685" s="28" t="str">
        <f>"201080026057"</f>
        <v>201080026057</v>
      </c>
      <c r="F685" s="28" t="str">
        <f t="shared" si="26"/>
        <v>COMPUTADORA/MICROCOMPUTADORA</v>
      </c>
      <c r="G685" s="28" t="s">
        <v>19</v>
      </c>
      <c r="H685" s="28" t="s">
        <v>20</v>
      </c>
      <c r="I685" s="29">
        <v>1</v>
      </c>
      <c r="J685" s="28" t="s">
        <v>21</v>
      </c>
      <c r="K685" s="12" t="s">
        <v>22</v>
      </c>
      <c r="L685" s="13">
        <v>35</v>
      </c>
    </row>
    <row r="686" spans="1:12" s="10" customFormat="1" ht="18" x14ac:dyDescent="0.25">
      <c r="A686" s="11">
        <v>682</v>
      </c>
      <c r="B686" s="28" t="s">
        <v>524</v>
      </c>
      <c r="C686" s="28" t="str">
        <f t="shared" si="23"/>
        <v>140501</v>
      </c>
      <c r="D686" s="28" t="str">
        <f>"14.140501/2024.00706/BC.I."</f>
        <v>14.140501/2024.00706/BC.I.</v>
      </c>
      <c r="E686" s="28" t="str">
        <f>"201080026062"</f>
        <v>201080026062</v>
      </c>
      <c r="F686" s="28" t="str">
        <f t="shared" si="26"/>
        <v>COMPUTADORA/MICROCOMPUTADORA</v>
      </c>
      <c r="G686" s="28" t="s">
        <v>19</v>
      </c>
      <c r="H686" s="28" t="s">
        <v>20</v>
      </c>
      <c r="I686" s="29">
        <v>1</v>
      </c>
      <c r="J686" s="28" t="s">
        <v>21</v>
      </c>
      <c r="K686" s="12" t="s">
        <v>22</v>
      </c>
      <c r="L686" s="13">
        <v>35</v>
      </c>
    </row>
    <row r="687" spans="1:12" s="10" customFormat="1" ht="18" x14ac:dyDescent="0.25">
      <c r="A687" s="11">
        <v>683</v>
      </c>
      <c r="B687" s="28" t="s">
        <v>524</v>
      </c>
      <c r="C687" s="28" t="str">
        <f t="shared" si="23"/>
        <v>140501</v>
      </c>
      <c r="D687" s="28" t="str">
        <f>"14.140501/2024.00712/BC.I."</f>
        <v>14.140501/2024.00712/BC.I.</v>
      </c>
      <c r="E687" s="28" t="str">
        <f>"201080026072"</f>
        <v>201080026072</v>
      </c>
      <c r="F687" s="28" t="str">
        <f t="shared" si="26"/>
        <v>COMPUTADORA/MICROCOMPUTADORA</v>
      </c>
      <c r="G687" s="28" t="s">
        <v>19</v>
      </c>
      <c r="H687" s="28" t="s">
        <v>20</v>
      </c>
      <c r="I687" s="29">
        <v>1</v>
      </c>
      <c r="J687" s="28" t="s">
        <v>21</v>
      </c>
      <c r="K687" s="12" t="s">
        <v>22</v>
      </c>
      <c r="L687" s="13">
        <v>35</v>
      </c>
    </row>
    <row r="688" spans="1:12" s="10" customFormat="1" ht="18" x14ac:dyDescent="0.25">
      <c r="A688" s="11">
        <v>684</v>
      </c>
      <c r="B688" s="28" t="s">
        <v>524</v>
      </c>
      <c r="C688" s="28" t="str">
        <f t="shared" si="23"/>
        <v>140501</v>
      </c>
      <c r="D688" s="28" t="str">
        <f>"14.140501/2024.00707/BC.I."</f>
        <v>14.140501/2024.00707/BC.I.</v>
      </c>
      <c r="E688" s="28" t="str">
        <f>"201080026073"</f>
        <v>201080026073</v>
      </c>
      <c r="F688" s="28" t="str">
        <f t="shared" si="26"/>
        <v>COMPUTADORA/MICROCOMPUTADORA</v>
      </c>
      <c r="G688" s="28" t="s">
        <v>19</v>
      </c>
      <c r="H688" s="28" t="s">
        <v>20</v>
      </c>
      <c r="I688" s="29">
        <v>1</v>
      </c>
      <c r="J688" s="28" t="s">
        <v>21</v>
      </c>
      <c r="K688" s="12" t="s">
        <v>22</v>
      </c>
      <c r="L688" s="13">
        <v>35</v>
      </c>
    </row>
    <row r="689" spans="1:12" s="10" customFormat="1" ht="18" x14ac:dyDescent="0.25">
      <c r="A689" s="11">
        <v>685</v>
      </c>
      <c r="B689" s="28" t="s">
        <v>524</v>
      </c>
      <c r="C689" s="28" t="str">
        <f t="shared" si="23"/>
        <v>140501</v>
      </c>
      <c r="D689" s="28" t="str">
        <f>"14.140501/2024.00681/BC.I."</f>
        <v>14.140501/2024.00681/BC.I.</v>
      </c>
      <c r="E689" s="28" t="str">
        <f>"201080026074"</f>
        <v>201080026074</v>
      </c>
      <c r="F689" s="28" t="str">
        <f t="shared" si="26"/>
        <v>COMPUTADORA/MICROCOMPUTADORA</v>
      </c>
      <c r="G689" s="28" t="s">
        <v>19</v>
      </c>
      <c r="H689" s="28" t="s">
        <v>20</v>
      </c>
      <c r="I689" s="29">
        <v>1</v>
      </c>
      <c r="J689" s="28" t="s">
        <v>21</v>
      </c>
      <c r="K689" s="12" t="s">
        <v>22</v>
      </c>
      <c r="L689" s="13">
        <v>35</v>
      </c>
    </row>
    <row r="690" spans="1:12" s="10" customFormat="1" ht="18" x14ac:dyDescent="0.25">
      <c r="A690" s="11">
        <v>686</v>
      </c>
      <c r="B690" s="28" t="s">
        <v>524</v>
      </c>
      <c r="C690" s="28" t="str">
        <f t="shared" si="23"/>
        <v>140501</v>
      </c>
      <c r="D690" s="28" t="str">
        <f>"14.140501/2024.00708/BC.I."</f>
        <v>14.140501/2024.00708/BC.I.</v>
      </c>
      <c r="E690" s="28" t="str">
        <f>"201080026089"</f>
        <v>201080026089</v>
      </c>
      <c r="F690" s="28" t="str">
        <f t="shared" si="26"/>
        <v>COMPUTADORA/MICROCOMPUTADORA</v>
      </c>
      <c r="G690" s="28" t="s">
        <v>19</v>
      </c>
      <c r="H690" s="28" t="s">
        <v>20</v>
      </c>
      <c r="I690" s="29">
        <v>1</v>
      </c>
      <c r="J690" s="28" t="s">
        <v>21</v>
      </c>
      <c r="K690" s="12" t="s">
        <v>22</v>
      </c>
      <c r="L690" s="13">
        <v>35</v>
      </c>
    </row>
    <row r="691" spans="1:12" s="10" customFormat="1" ht="18" x14ac:dyDescent="0.25">
      <c r="A691" s="11">
        <v>687</v>
      </c>
      <c r="B691" s="28" t="s">
        <v>524</v>
      </c>
      <c r="C691" s="28" t="str">
        <f t="shared" si="23"/>
        <v>140501</v>
      </c>
      <c r="D691" s="28" t="str">
        <f>"14.140501/2024.00737/BC.I."</f>
        <v>14.140501/2024.00737/BC.I.</v>
      </c>
      <c r="E691" s="28" t="str">
        <f>"201080026101"</f>
        <v>201080026101</v>
      </c>
      <c r="F691" s="28" t="str">
        <f t="shared" si="26"/>
        <v>COMPUTADORA/MICROCOMPUTADORA</v>
      </c>
      <c r="G691" s="28" t="s">
        <v>19</v>
      </c>
      <c r="H691" s="28" t="s">
        <v>20</v>
      </c>
      <c r="I691" s="29">
        <v>1</v>
      </c>
      <c r="J691" s="28" t="s">
        <v>21</v>
      </c>
      <c r="K691" s="12" t="s">
        <v>22</v>
      </c>
      <c r="L691" s="13">
        <v>35</v>
      </c>
    </row>
    <row r="692" spans="1:12" s="10" customFormat="1" ht="18" x14ac:dyDescent="0.25">
      <c r="A692" s="11">
        <v>688</v>
      </c>
      <c r="B692" s="28" t="s">
        <v>524</v>
      </c>
      <c r="C692" s="28" t="str">
        <f t="shared" si="23"/>
        <v>140501</v>
      </c>
      <c r="D692" s="28" t="str">
        <f>"14.140501/2024.00690/BC.I."</f>
        <v>14.140501/2024.00690/BC.I.</v>
      </c>
      <c r="E692" s="28" t="str">
        <f>"201080026103"</f>
        <v>201080026103</v>
      </c>
      <c r="F692" s="28" t="str">
        <f t="shared" si="26"/>
        <v>COMPUTADORA/MICROCOMPUTADORA</v>
      </c>
      <c r="G692" s="28" t="s">
        <v>19</v>
      </c>
      <c r="H692" s="28" t="s">
        <v>20</v>
      </c>
      <c r="I692" s="29">
        <v>1</v>
      </c>
      <c r="J692" s="28" t="s">
        <v>21</v>
      </c>
      <c r="K692" s="12" t="s">
        <v>22</v>
      </c>
      <c r="L692" s="13">
        <v>35</v>
      </c>
    </row>
    <row r="693" spans="1:12" s="10" customFormat="1" ht="18" x14ac:dyDescent="0.25">
      <c r="A693" s="11">
        <v>689</v>
      </c>
      <c r="B693" s="28" t="s">
        <v>524</v>
      </c>
      <c r="C693" s="28" t="str">
        <f t="shared" si="23"/>
        <v>140501</v>
      </c>
      <c r="D693" s="28" t="str">
        <f>"14.140501/2024.00682/BC.I."</f>
        <v>14.140501/2024.00682/BC.I.</v>
      </c>
      <c r="E693" s="28" t="str">
        <f>"201080026492"</f>
        <v>201080026492</v>
      </c>
      <c r="F693" s="28" t="str">
        <f t="shared" si="26"/>
        <v>COMPUTADORA/MICROCOMPUTADORA</v>
      </c>
      <c r="G693" s="28" t="s">
        <v>19</v>
      </c>
      <c r="H693" s="28" t="s">
        <v>20</v>
      </c>
      <c r="I693" s="29">
        <v>1</v>
      </c>
      <c r="J693" s="28" t="s">
        <v>21</v>
      </c>
      <c r="K693" s="12" t="s">
        <v>22</v>
      </c>
      <c r="L693" s="13">
        <v>35</v>
      </c>
    </row>
    <row r="694" spans="1:12" s="10" customFormat="1" ht="18" x14ac:dyDescent="0.25">
      <c r="A694" s="11">
        <v>690</v>
      </c>
      <c r="B694" s="28" t="s">
        <v>524</v>
      </c>
      <c r="C694" s="28" t="str">
        <f t="shared" ref="C694:C757" si="27">"140501"</f>
        <v>140501</v>
      </c>
      <c r="D694" s="28" t="str">
        <f>"14.140501/2024.00691/BC.I."</f>
        <v>14.140501/2024.00691/BC.I.</v>
      </c>
      <c r="E694" s="28" t="str">
        <f>"201080026499"</f>
        <v>201080026499</v>
      </c>
      <c r="F694" s="28" t="str">
        <f t="shared" si="26"/>
        <v>COMPUTADORA/MICROCOMPUTADORA</v>
      </c>
      <c r="G694" s="28" t="s">
        <v>19</v>
      </c>
      <c r="H694" s="28" t="s">
        <v>20</v>
      </c>
      <c r="I694" s="29">
        <v>1</v>
      </c>
      <c r="J694" s="28" t="s">
        <v>21</v>
      </c>
      <c r="K694" s="12" t="s">
        <v>22</v>
      </c>
      <c r="L694" s="13">
        <v>35</v>
      </c>
    </row>
    <row r="695" spans="1:12" s="10" customFormat="1" ht="18" x14ac:dyDescent="0.25">
      <c r="A695" s="11">
        <v>691</v>
      </c>
      <c r="B695" s="28" t="s">
        <v>524</v>
      </c>
      <c r="C695" s="28" t="str">
        <f t="shared" si="27"/>
        <v>140501</v>
      </c>
      <c r="D695" s="28" t="str">
        <f>"14.140501/2024.00669/BC.I."</f>
        <v>14.140501/2024.00669/BC.I.</v>
      </c>
      <c r="E695" s="28" t="str">
        <f>"201080026506"</f>
        <v>201080026506</v>
      </c>
      <c r="F695" s="28" t="str">
        <f t="shared" si="26"/>
        <v>COMPUTADORA/MICROCOMPUTADORA</v>
      </c>
      <c r="G695" s="28" t="s">
        <v>19</v>
      </c>
      <c r="H695" s="28" t="s">
        <v>20</v>
      </c>
      <c r="I695" s="29">
        <v>1</v>
      </c>
      <c r="J695" s="28" t="s">
        <v>21</v>
      </c>
      <c r="K695" s="12" t="s">
        <v>22</v>
      </c>
      <c r="L695" s="13">
        <v>35</v>
      </c>
    </row>
    <row r="696" spans="1:12" s="10" customFormat="1" ht="18" x14ac:dyDescent="0.25">
      <c r="A696" s="11">
        <v>692</v>
      </c>
      <c r="B696" s="28" t="s">
        <v>524</v>
      </c>
      <c r="C696" s="28" t="str">
        <f t="shared" si="27"/>
        <v>140501</v>
      </c>
      <c r="D696" s="28" t="str">
        <f>"14.140501/2024.00717/BC.I."</f>
        <v>14.140501/2024.00717/BC.I.</v>
      </c>
      <c r="E696" s="28" t="str">
        <f>"201080026543"</f>
        <v>201080026543</v>
      </c>
      <c r="F696" s="28" t="str">
        <f t="shared" si="26"/>
        <v>COMPUTADORA/MICROCOMPUTADORA</v>
      </c>
      <c r="G696" s="28" t="s">
        <v>19</v>
      </c>
      <c r="H696" s="28" t="s">
        <v>20</v>
      </c>
      <c r="I696" s="29">
        <v>1</v>
      </c>
      <c r="J696" s="28" t="s">
        <v>21</v>
      </c>
      <c r="K696" s="12" t="s">
        <v>22</v>
      </c>
      <c r="L696" s="13">
        <v>35</v>
      </c>
    </row>
    <row r="697" spans="1:12" s="10" customFormat="1" ht="18" x14ac:dyDescent="0.25">
      <c r="A697" s="11">
        <v>693</v>
      </c>
      <c r="B697" s="28" t="s">
        <v>524</v>
      </c>
      <c r="C697" s="28" t="str">
        <f t="shared" si="27"/>
        <v>140501</v>
      </c>
      <c r="D697" s="28" t="str">
        <f>"14.140501/2024.00713/BC.I."</f>
        <v>14.140501/2024.00713/BC.I.</v>
      </c>
      <c r="E697" s="28" t="str">
        <f>"201080026710"</f>
        <v>201080026710</v>
      </c>
      <c r="F697" s="28" t="str">
        <f t="shared" si="26"/>
        <v>COMPUTADORA/MICROCOMPUTADORA</v>
      </c>
      <c r="G697" s="28" t="s">
        <v>19</v>
      </c>
      <c r="H697" s="28" t="s">
        <v>20</v>
      </c>
      <c r="I697" s="29">
        <v>1</v>
      </c>
      <c r="J697" s="28" t="s">
        <v>21</v>
      </c>
      <c r="K697" s="12" t="s">
        <v>22</v>
      </c>
      <c r="L697" s="13">
        <v>35</v>
      </c>
    </row>
    <row r="698" spans="1:12" s="10" customFormat="1" ht="18" x14ac:dyDescent="0.25">
      <c r="A698" s="11">
        <v>694</v>
      </c>
      <c r="B698" s="28" t="s">
        <v>524</v>
      </c>
      <c r="C698" s="28" t="str">
        <f t="shared" si="27"/>
        <v>140501</v>
      </c>
      <c r="D698" s="28" t="str">
        <f>"14.140501/2024.00736/BC.I."</f>
        <v>14.140501/2024.00736/BC.I.</v>
      </c>
      <c r="E698" s="28" t="str">
        <f>"201080026721"</f>
        <v>201080026721</v>
      </c>
      <c r="F698" s="28" t="str">
        <f t="shared" si="26"/>
        <v>COMPUTADORA/MICROCOMPUTADORA</v>
      </c>
      <c r="G698" s="28" t="s">
        <v>19</v>
      </c>
      <c r="H698" s="28" t="s">
        <v>20</v>
      </c>
      <c r="I698" s="29">
        <v>1</v>
      </c>
      <c r="J698" s="28" t="s">
        <v>21</v>
      </c>
      <c r="K698" s="12" t="s">
        <v>22</v>
      </c>
      <c r="L698" s="13">
        <v>35</v>
      </c>
    </row>
    <row r="699" spans="1:12" s="10" customFormat="1" ht="18" x14ac:dyDescent="0.25">
      <c r="A699" s="11">
        <v>695</v>
      </c>
      <c r="B699" s="28" t="s">
        <v>524</v>
      </c>
      <c r="C699" s="28" t="str">
        <f t="shared" si="27"/>
        <v>140501</v>
      </c>
      <c r="D699" s="28" t="str">
        <f>"14.140501/2024.00718/BC.I."</f>
        <v>14.140501/2024.00718/BC.I.</v>
      </c>
      <c r="E699" s="28" t="str">
        <f>"201080026845"</f>
        <v>201080026845</v>
      </c>
      <c r="F699" s="28" t="str">
        <f t="shared" si="26"/>
        <v>COMPUTADORA/MICROCOMPUTADORA</v>
      </c>
      <c r="G699" s="28" t="s">
        <v>19</v>
      </c>
      <c r="H699" s="28" t="s">
        <v>20</v>
      </c>
      <c r="I699" s="29">
        <v>1</v>
      </c>
      <c r="J699" s="28" t="s">
        <v>21</v>
      </c>
      <c r="K699" s="12" t="s">
        <v>22</v>
      </c>
      <c r="L699" s="13">
        <v>35</v>
      </c>
    </row>
    <row r="700" spans="1:12" s="10" customFormat="1" ht="18" x14ac:dyDescent="0.25">
      <c r="A700" s="11">
        <v>696</v>
      </c>
      <c r="B700" s="28" t="s">
        <v>524</v>
      </c>
      <c r="C700" s="28" t="str">
        <f t="shared" si="27"/>
        <v>140501</v>
      </c>
      <c r="D700" s="28" t="str">
        <f>"14.140501/2024.00689/BC.I."</f>
        <v>14.140501/2024.00689/BC.I.</v>
      </c>
      <c r="E700" s="28" t="str">
        <f>"201080027120"</f>
        <v>201080027120</v>
      </c>
      <c r="F700" s="28" t="str">
        <f t="shared" si="26"/>
        <v>COMPUTADORA/MICROCOMPUTADORA</v>
      </c>
      <c r="G700" s="28" t="s">
        <v>19</v>
      </c>
      <c r="H700" s="28" t="s">
        <v>20</v>
      </c>
      <c r="I700" s="29">
        <v>1</v>
      </c>
      <c r="J700" s="28" t="s">
        <v>21</v>
      </c>
      <c r="K700" s="12" t="s">
        <v>22</v>
      </c>
      <c r="L700" s="13">
        <v>35</v>
      </c>
    </row>
    <row r="701" spans="1:12" s="10" customFormat="1" ht="18" x14ac:dyDescent="0.25">
      <c r="A701" s="11">
        <v>697</v>
      </c>
      <c r="B701" s="28" t="s">
        <v>524</v>
      </c>
      <c r="C701" s="28" t="str">
        <f t="shared" si="27"/>
        <v>140501</v>
      </c>
      <c r="D701" s="28" t="str">
        <f>"14.140501/2024.00723/BC.I."</f>
        <v>14.140501/2024.00723/BC.I.</v>
      </c>
      <c r="E701" s="28" t="str">
        <f>"201080027376"</f>
        <v>201080027376</v>
      </c>
      <c r="F701" s="28" t="str">
        <f t="shared" si="26"/>
        <v>COMPUTADORA/MICROCOMPUTADORA</v>
      </c>
      <c r="G701" s="28" t="s">
        <v>19</v>
      </c>
      <c r="H701" s="28" t="s">
        <v>20</v>
      </c>
      <c r="I701" s="29">
        <v>1</v>
      </c>
      <c r="J701" s="28" t="s">
        <v>21</v>
      </c>
      <c r="K701" s="12" t="s">
        <v>22</v>
      </c>
      <c r="L701" s="13">
        <v>35</v>
      </c>
    </row>
    <row r="702" spans="1:12" s="10" customFormat="1" ht="18" x14ac:dyDescent="0.25">
      <c r="A702" s="11">
        <v>698</v>
      </c>
      <c r="B702" s="28" t="s">
        <v>524</v>
      </c>
      <c r="C702" s="28" t="str">
        <f t="shared" si="27"/>
        <v>140501</v>
      </c>
      <c r="D702" s="28" t="str">
        <f>"14.140501/2024.00734/BC.I."</f>
        <v>14.140501/2024.00734/BC.I.</v>
      </c>
      <c r="E702" s="28" t="str">
        <f>"201080027379"</f>
        <v>201080027379</v>
      </c>
      <c r="F702" s="28" t="str">
        <f t="shared" si="26"/>
        <v>COMPUTADORA/MICROCOMPUTADORA</v>
      </c>
      <c r="G702" s="28" t="s">
        <v>19</v>
      </c>
      <c r="H702" s="28" t="s">
        <v>20</v>
      </c>
      <c r="I702" s="29">
        <v>1</v>
      </c>
      <c r="J702" s="28" t="s">
        <v>21</v>
      </c>
      <c r="K702" s="12" t="s">
        <v>22</v>
      </c>
      <c r="L702" s="13">
        <v>35</v>
      </c>
    </row>
    <row r="703" spans="1:12" s="10" customFormat="1" ht="18" x14ac:dyDescent="0.25">
      <c r="A703" s="11">
        <v>699</v>
      </c>
      <c r="B703" s="28" t="s">
        <v>524</v>
      </c>
      <c r="C703" s="28" t="str">
        <f t="shared" si="27"/>
        <v>140501</v>
      </c>
      <c r="D703" s="28" t="str">
        <f>"14.140501/2024.00709/BC.I."</f>
        <v>14.140501/2024.00709/BC.I.</v>
      </c>
      <c r="E703" s="28" t="str">
        <f>"201080027732"</f>
        <v>201080027732</v>
      </c>
      <c r="F703" s="28" t="str">
        <f t="shared" si="26"/>
        <v>COMPUTADORA/MICROCOMPUTADORA</v>
      </c>
      <c r="G703" s="28" t="s">
        <v>19</v>
      </c>
      <c r="H703" s="28" t="s">
        <v>20</v>
      </c>
      <c r="I703" s="29">
        <v>1</v>
      </c>
      <c r="J703" s="28" t="s">
        <v>21</v>
      </c>
      <c r="K703" s="12" t="s">
        <v>22</v>
      </c>
      <c r="L703" s="13">
        <v>35</v>
      </c>
    </row>
    <row r="704" spans="1:12" s="10" customFormat="1" ht="18" x14ac:dyDescent="0.25">
      <c r="A704" s="11">
        <v>700</v>
      </c>
      <c r="B704" s="28" t="s">
        <v>524</v>
      </c>
      <c r="C704" s="28" t="str">
        <f t="shared" si="27"/>
        <v>140501</v>
      </c>
      <c r="D704" s="28" t="str">
        <f>"14.140501/2024.00710/BC.I."</f>
        <v>14.140501/2024.00710/BC.I.</v>
      </c>
      <c r="E704" s="28" t="str">
        <f>"201080027734"</f>
        <v>201080027734</v>
      </c>
      <c r="F704" s="28" t="str">
        <f t="shared" si="26"/>
        <v>COMPUTADORA/MICROCOMPUTADORA</v>
      </c>
      <c r="G704" s="28" t="s">
        <v>19</v>
      </c>
      <c r="H704" s="28" t="s">
        <v>20</v>
      </c>
      <c r="I704" s="29">
        <v>1</v>
      </c>
      <c r="J704" s="28" t="s">
        <v>21</v>
      </c>
      <c r="K704" s="12" t="s">
        <v>22</v>
      </c>
      <c r="L704" s="13">
        <v>35</v>
      </c>
    </row>
    <row r="705" spans="1:12" s="10" customFormat="1" ht="18" x14ac:dyDescent="0.25">
      <c r="A705" s="11">
        <v>701</v>
      </c>
      <c r="B705" s="28" t="s">
        <v>524</v>
      </c>
      <c r="C705" s="28" t="str">
        <f t="shared" si="27"/>
        <v>140501</v>
      </c>
      <c r="D705" s="28" t="str">
        <f>"14.140501/2024.00724/BC.I."</f>
        <v>14.140501/2024.00724/BC.I.</v>
      </c>
      <c r="E705" s="28" t="str">
        <f>"201080027820"</f>
        <v>201080027820</v>
      </c>
      <c r="F705" s="28" t="str">
        <f t="shared" si="26"/>
        <v>COMPUTADORA/MICROCOMPUTADORA</v>
      </c>
      <c r="G705" s="28" t="s">
        <v>19</v>
      </c>
      <c r="H705" s="28" t="s">
        <v>20</v>
      </c>
      <c r="I705" s="29">
        <v>1</v>
      </c>
      <c r="J705" s="28" t="s">
        <v>21</v>
      </c>
      <c r="K705" s="12" t="s">
        <v>22</v>
      </c>
      <c r="L705" s="13">
        <v>35</v>
      </c>
    </row>
    <row r="706" spans="1:12" s="10" customFormat="1" ht="18" x14ac:dyDescent="0.25">
      <c r="A706" s="11">
        <v>702</v>
      </c>
      <c r="B706" s="28" t="s">
        <v>524</v>
      </c>
      <c r="C706" s="28" t="str">
        <f t="shared" si="27"/>
        <v>140501</v>
      </c>
      <c r="D706" s="28" t="str">
        <f>"14.140501/2024.00670/BC.I."</f>
        <v>14.140501/2024.00670/BC.I.</v>
      </c>
      <c r="E706" s="28" t="str">
        <f>"201080027905"</f>
        <v>201080027905</v>
      </c>
      <c r="F706" s="28" t="str">
        <f t="shared" si="26"/>
        <v>COMPUTADORA/MICROCOMPUTADORA</v>
      </c>
      <c r="G706" s="28" t="s">
        <v>19</v>
      </c>
      <c r="H706" s="28" t="s">
        <v>20</v>
      </c>
      <c r="I706" s="29">
        <v>1</v>
      </c>
      <c r="J706" s="28" t="s">
        <v>21</v>
      </c>
      <c r="K706" s="12" t="s">
        <v>22</v>
      </c>
      <c r="L706" s="13">
        <v>35</v>
      </c>
    </row>
    <row r="707" spans="1:12" s="10" customFormat="1" ht="18" x14ac:dyDescent="0.25">
      <c r="A707" s="11">
        <v>703</v>
      </c>
      <c r="B707" s="28" t="s">
        <v>524</v>
      </c>
      <c r="C707" s="28" t="str">
        <f t="shared" si="27"/>
        <v>140501</v>
      </c>
      <c r="D707" s="28" t="str">
        <f>"14.140501/2024.00673/BC.I."</f>
        <v>14.140501/2024.00673/BC.I.</v>
      </c>
      <c r="E707" s="28" t="str">
        <f>"201080027923"</f>
        <v>201080027923</v>
      </c>
      <c r="F707" s="28" t="str">
        <f t="shared" si="26"/>
        <v>COMPUTADORA/MICROCOMPUTADORA</v>
      </c>
      <c r="G707" s="28" t="s">
        <v>19</v>
      </c>
      <c r="H707" s="28" t="s">
        <v>20</v>
      </c>
      <c r="I707" s="29">
        <v>1</v>
      </c>
      <c r="J707" s="28" t="s">
        <v>21</v>
      </c>
      <c r="K707" s="12" t="s">
        <v>22</v>
      </c>
      <c r="L707" s="13">
        <v>35</v>
      </c>
    </row>
    <row r="708" spans="1:12" s="10" customFormat="1" ht="18" x14ac:dyDescent="0.25">
      <c r="A708" s="11">
        <v>704</v>
      </c>
      <c r="B708" s="28" t="s">
        <v>524</v>
      </c>
      <c r="C708" s="28" t="str">
        <f t="shared" si="27"/>
        <v>140501</v>
      </c>
      <c r="D708" s="28" t="str">
        <f>"14.140501/2024.00683/BC.I."</f>
        <v>14.140501/2024.00683/BC.I.</v>
      </c>
      <c r="E708" s="28" t="str">
        <f>"201080075907"</f>
        <v>201080075907</v>
      </c>
      <c r="F708" s="28" t="str">
        <f t="shared" si="26"/>
        <v>COMPUTADORA/MICROCOMPUTADORA</v>
      </c>
      <c r="G708" s="28" t="s">
        <v>19</v>
      </c>
      <c r="H708" s="28" t="s">
        <v>20</v>
      </c>
      <c r="I708" s="29">
        <v>1</v>
      </c>
      <c r="J708" s="28" t="s">
        <v>21</v>
      </c>
      <c r="K708" s="12" t="s">
        <v>22</v>
      </c>
      <c r="L708" s="13">
        <v>35</v>
      </c>
    </row>
    <row r="709" spans="1:12" s="10" customFormat="1" ht="18" x14ac:dyDescent="0.25">
      <c r="A709" s="11">
        <v>705</v>
      </c>
      <c r="B709" s="28" t="s">
        <v>524</v>
      </c>
      <c r="C709" s="28" t="str">
        <f t="shared" si="27"/>
        <v>140501</v>
      </c>
      <c r="D709" s="28" t="str">
        <f>"14.140501/2024.00672/BC.I."</f>
        <v>14.140501/2024.00672/BC.I.</v>
      </c>
      <c r="E709" s="28" t="str">
        <f>"201180019072"</f>
        <v>201180019072</v>
      </c>
      <c r="F709" s="28" t="str">
        <f t="shared" si="26"/>
        <v>COMPUTADORA/MICROCOMPUTADORA</v>
      </c>
      <c r="G709" s="28" t="s">
        <v>19</v>
      </c>
      <c r="H709" s="28" t="s">
        <v>20</v>
      </c>
      <c r="I709" s="29">
        <v>1</v>
      </c>
      <c r="J709" s="28" t="s">
        <v>21</v>
      </c>
      <c r="K709" s="12" t="s">
        <v>22</v>
      </c>
      <c r="L709" s="13">
        <v>35</v>
      </c>
    </row>
    <row r="710" spans="1:12" s="10" customFormat="1" ht="18" x14ac:dyDescent="0.25">
      <c r="A710" s="11">
        <v>706</v>
      </c>
      <c r="B710" s="28" t="s">
        <v>524</v>
      </c>
      <c r="C710" s="28" t="str">
        <f t="shared" si="27"/>
        <v>140501</v>
      </c>
      <c r="D710" s="28" t="str">
        <f>"14.140501/2024.00714/BC.O."</f>
        <v>14.140501/2024.00714/BC.O.</v>
      </c>
      <c r="E710" s="28" t="str">
        <f>"1987051607"</f>
        <v>1987051607</v>
      </c>
      <c r="F710" s="28" t="str">
        <f>"VENTILADOR/ELECTRICO DE PIE OSCILATORIO"</f>
        <v>VENTILADOR/ELECTRICO DE PIE OSCILATORIO</v>
      </c>
      <c r="G710" s="28" t="s">
        <v>19</v>
      </c>
      <c r="H710" s="28" t="s">
        <v>20</v>
      </c>
      <c r="I710" s="29">
        <v>1</v>
      </c>
      <c r="J710" s="28" t="s">
        <v>21</v>
      </c>
      <c r="K710" s="12" t="s">
        <v>22</v>
      </c>
      <c r="L710" s="13">
        <v>20</v>
      </c>
    </row>
    <row r="711" spans="1:12" s="10" customFormat="1" ht="18" x14ac:dyDescent="0.25">
      <c r="A711" s="11">
        <v>707</v>
      </c>
      <c r="B711" s="28" t="s">
        <v>524</v>
      </c>
      <c r="C711" s="28" t="str">
        <f t="shared" si="27"/>
        <v>140501</v>
      </c>
      <c r="D711" s="28" t="str">
        <f>"14.140501/2024.00663/BC.O."</f>
        <v>14.140501/2024.00663/BC.O.</v>
      </c>
      <c r="E711" s="28" t="str">
        <f>"1990104209"</f>
        <v>1990104209</v>
      </c>
      <c r="F711" s="28" t="str">
        <f>"SILLON/DE MADERA FIJO"</f>
        <v>SILLON/DE MADERA FIJO</v>
      </c>
      <c r="G711" s="28" t="s">
        <v>19</v>
      </c>
      <c r="H711" s="28" t="s">
        <v>20</v>
      </c>
      <c r="I711" s="29">
        <v>1</v>
      </c>
      <c r="J711" s="28" t="s">
        <v>21</v>
      </c>
      <c r="K711" s="12" t="s">
        <v>22</v>
      </c>
      <c r="L711" s="13">
        <v>25</v>
      </c>
    </row>
    <row r="712" spans="1:12" s="10" customFormat="1" ht="18" x14ac:dyDescent="0.25">
      <c r="A712" s="11">
        <v>708</v>
      </c>
      <c r="B712" s="28" t="s">
        <v>524</v>
      </c>
      <c r="C712" s="28" t="str">
        <f t="shared" si="27"/>
        <v>140501</v>
      </c>
      <c r="D712" s="28" t="str">
        <f>"14.140501/2024.00664/BC.O."</f>
        <v>14.140501/2024.00664/BC.O.</v>
      </c>
      <c r="E712" s="28" t="str">
        <f>"1990104210"</f>
        <v>1990104210</v>
      </c>
      <c r="F712" s="28" t="str">
        <f>"SILLON/DE MADERA FIJO"</f>
        <v>SILLON/DE MADERA FIJO</v>
      </c>
      <c r="G712" s="28" t="s">
        <v>19</v>
      </c>
      <c r="H712" s="28" t="s">
        <v>20</v>
      </c>
      <c r="I712" s="29">
        <v>1</v>
      </c>
      <c r="J712" s="28" t="s">
        <v>21</v>
      </c>
      <c r="K712" s="12" t="s">
        <v>22</v>
      </c>
      <c r="L712" s="13">
        <v>25</v>
      </c>
    </row>
    <row r="713" spans="1:12" s="10" customFormat="1" ht="18" x14ac:dyDescent="0.25">
      <c r="A713" s="11">
        <v>709</v>
      </c>
      <c r="B713" s="28" t="s">
        <v>524</v>
      </c>
      <c r="C713" s="28" t="str">
        <f t="shared" si="27"/>
        <v>140501</v>
      </c>
      <c r="D713" s="28" t="str">
        <f>"14.140501/2024.00692/BC.O."</f>
        <v>14.140501/2024.00692/BC.O.</v>
      </c>
      <c r="E713" s="28" t="str">
        <f>"1990104211"</f>
        <v>1990104211</v>
      </c>
      <c r="F713" s="28" t="str">
        <f>"SILLON/DE MADERA FIJO"</f>
        <v>SILLON/DE MADERA FIJO</v>
      </c>
      <c r="G713" s="28" t="s">
        <v>19</v>
      </c>
      <c r="H713" s="28" t="s">
        <v>20</v>
      </c>
      <c r="I713" s="29">
        <v>1</v>
      </c>
      <c r="J713" s="28" t="s">
        <v>21</v>
      </c>
      <c r="K713" s="12" t="s">
        <v>22</v>
      </c>
      <c r="L713" s="13">
        <v>25</v>
      </c>
    </row>
    <row r="714" spans="1:12" s="10" customFormat="1" ht="18" x14ac:dyDescent="0.25">
      <c r="A714" s="11">
        <v>710</v>
      </c>
      <c r="B714" s="28" t="s">
        <v>524</v>
      </c>
      <c r="C714" s="28" t="str">
        <f t="shared" si="27"/>
        <v>140501</v>
      </c>
      <c r="D714" s="28" t="str">
        <f>"14.140501/2024.00693/BC.O."</f>
        <v>14.140501/2024.00693/BC.O.</v>
      </c>
      <c r="E714" s="28" t="str">
        <f>"1990104213"</f>
        <v>1990104213</v>
      </c>
      <c r="F714" s="28" t="str">
        <f>"SILLON/DE MADERA FIJO"</f>
        <v>SILLON/DE MADERA FIJO</v>
      </c>
      <c r="G714" s="28" t="s">
        <v>19</v>
      </c>
      <c r="H714" s="28" t="s">
        <v>20</v>
      </c>
      <c r="I714" s="29">
        <v>1</v>
      </c>
      <c r="J714" s="28" t="s">
        <v>21</v>
      </c>
      <c r="K714" s="12" t="s">
        <v>22</v>
      </c>
      <c r="L714" s="13">
        <v>25</v>
      </c>
    </row>
    <row r="715" spans="1:12" s="10" customFormat="1" ht="18" x14ac:dyDescent="0.25">
      <c r="A715" s="11">
        <v>711</v>
      </c>
      <c r="B715" s="28" t="s">
        <v>524</v>
      </c>
      <c r="C715" s="28" t="str">
        <f t="shared" si="27"/>
        <v>140501</v>
      </c>
      <c r="D715" s="28" t="str">
        <f>"14.140501/2024.00735/BC.O."</f>
        <v>14.140501/2024.00735/BC.O.</v>
      </c>
      <c r="E715" s="28" t="str">
        <f>"1990104215"</f>
        <v>1990104215</v>
      </c>
      <c r="F715" s="28" t="str">
        <f>"SILLON/DE MADERA FIJO"</f>
        <v>SILLON/DE MADERA FIJO</v>
      </c>
      <c r="G715" s="28" t="s">
        <v>19</v>
      </c>
      <c r="H715" s="28" t="s">
        <v>20</v>
      </c>
      <c r="I715" s="29">
        <v>1</v>
      </c>
      <c r="J715" s="28" t="s">
        <v>21</v>
      </c>
      <c r="K715" s="12" t="s">
        <v>22</v>
      </c>
      <c r="L715" s="13">
        <v>25</v>
      </c>
    </row>
    <row r="716" spans="1:12" s="10" customFormat="1" ht="18" x14ac:dyDescent="0.25">
      <c r="A716" s="11">
        <v>712</v>
      </c>
      <c r="B716" s="28" t="s">
        <v>524</v>
      </c>
      <c r="C716" s="28" t="str">
        <f t="shared" si="27"/>
        <v>140501</v>
      </c>
      <c r="D716" s="28" t="str">
        <f>"14.140501/2024.00715/BC.O."</f>
        <v>14.140501/2024.00715/BC.O.</v>
      </c>
      <c r="E716" s="28" t="str">
        <f>"1991230027"</f>
        <v>1991230027</v>
      </c>
      <c r="F716" s="28" t="str">
        <f>"SOPERA/DE ALUMINIO"</f>
        <v>SOPERA/DE ALUMINIO</v>
      </c>
      <c r="G716" s="28" t="s">
        <v>19</v>
      </c>
      <c r="H716" s="28" t="s">
        <v>20</v>
      </c>
      <c r="I716" s="29">
        <v>1</v>
      </c>
      <c r="J716" s="28" t="s">
        <v>21</v>
      </c>
      <c r="K716" s="12" t="s">
        <v>22</v>
      </c>
      <c r="L716" s="13">
        <v>25</v>
      </c>
    </row>
    <row r="717" spans="1:12" s="10" customFormat="1" ht="18" x14ac:dyDescent="0.25">
      <c r="A717" s="11">
        <v>713</v>
      </c>
      <c r="B717" s="28" t="s">
        <v>524</v>
      </c>
      <c r="C717" s="28" t="str">
        <f t="shared" si="27"/>
        <v>140501</v>
      </c>
      <c r="D717" s="28" t="str">
        <f>"14.140501/2024.00684/BC.O."</f>
        <v>14.140501/2024.00684/BC.O.</v>
      </c>
      <c r="E717" s="28" t="str">
        <f>"2000947586"</f>
        <v>2000947586</v>
      </c>
      <c r="F717" s="28" t="str">
        <f>"MUEBLE/ESPECIALES"</f>
        <v>MUEBLE/ESPECIALES</v>
      </c>
      <c r="G717" s="28" t="s">
        <v>19</v>
      </c>
      <c r="H717" s="28" t="s">
        <v>20</v>
      </c>
      <c r="I717" s="29">
        <v>1</v>
      </c>
      <c r="J717" s="28" t="s">
        <v>21</v>
      </c>
      <c r="K717" s="12" t="s">
        <v>22</v>
      </c>
      <c r="L717" s="13">
        <v>25</v>
      </c>
    </row>
    <row r="718" spans="1:12" s="10" customFormat="1" ht="18" x14ac:dyDescent="0.25">
      <c r="A718" s="11">
        <v>714</v>
      </c>
      <c r="B718" s="28" t="s">
        <v>524</v>
      </c>
      <c r="C718" s="28" t="str">
        <f t="shared" si="27"/>
        <v>140501</v>
      </c>
      <c r="D718" s="28" t="str">
        <f>"14.140501/2024.00685/BC.O."</f>
        <v>14.140501/2024.00685/BC.O.</v>
      </c>
      <c r="E718" s="28" t="str">
        <f>"2000949392"</f>
        <v>2000949392</v>
      </c>
      <c r="F718" s="28" t="str">
        <f>"MUEBLE/ESPECIALES"</f>
        <v>MUEBLE/ESPECIALES</v>
      </c>
      <c r="G718" s="28" t="s">
        <v>19</v>
      </c>
      <c r="H718" s="28" t="s">
        <v>20</v>
      </c>
      <c r="I718" s="29">
        <v>1</v>
      </c>
      <c r="J718" s="28" t="s">
        <v>21</v>
      </c>
      <c r="K718" s="12" t="s">
        <v>22</v>
      </c>
      <c r="L718" s="13">
        <v>25</v>
      </c>
    </row>
    <row r="719" spans="1:12" s="10" customFormat="1" ht="18" x14ac:dyDescent="0.25">
      <c r="A719" s="11">
        <v>715</v>
      </c>
      <c r="B719" s="28" t="s">
        <v>524</v>
      </c>
      <c r="C719" s="28" t="str">
        <f t="shared" si="27"/>
        <v>140501</v>
      </c>
      <c r="D719" s="28" t="str">
        <f>"14.140501/2024.00686/BC.O."</f>
        <v>14.140501/2024.00686/BC.O.</v>
      </c>
      <c r="E719" s="28" t="str">
        <f>"2002900354Y"</f>
        <v>2002900354Y</v>
      </c>
      <c r="F719" s="28" t="str">
        <f>"MUEBLE/ESPECIALES"</f>
        <v>MUEBLE/ESPECIALES</v>
      </c>
      <c r="G719" s="28" t="s">
        <v>19</v>
      </c>
      <c r="H719" s="28" t="s">
        <v>20</v>
      </c>
      <c r="I719" s="29">
        <v>1</v>
      </c>
      <c r="J719" s="28" t="s">
        <v>21</v>
      </c>
      <c r="K719" s="12" t="s">
        <v>22</v>
      </c>
      <c r="L719" s="13">
        <v>25</v>
      </c>
    </row>
    <row r="720" spans="1:12" s="10" customFormat="1" ht="18" x14ac:dyDescent="0.25">
      <c r="A720" s="11">
        <v>716</v>
      </c>
      <c r="B720" s="28" t="s">
        <v>524</v>
      </c>
      <c r="C720" s="28" t="str">
        <f t="shared" si="27"/>
        <v>140501</v>
      </c>
      <c r="D720" s="28" t="str">
        <f>"14.140501/2024.00719/BC.O."</f>
        <v>14.140501/2024.00719/BC.O.</v>
      </c>
      <c r="E720" s="28" t="str">
        <f>"200400028555"</f>
        <v>200400028555</v>
      </c>
      <c r="F720" s="28" t="str">
        <f>"MESA/DE MADERA CIRCULAR PARA JUNTAS"</f>
        <v>MESA/DE MADERA CIRCULAR PARA JUNTAS</v>
      </c>
      <c r="G720" s="28" t="s">
        <v>19</v>
      </c>
      <c r="H720" s="28" t="s">
        <v>20</v>
      </c>
      <c r="I720" s="29">
        <v>1</v>
      </c>
      <c r="J720" s="28" t="s">
        <v>21</v>
      </c>
      <c r="K720" s="12" t="s">
        <v>22</v>
      </c>
      <c r="L720" s="13">
        <v>40</v>
      </c>
    </row>
    <row r="721" spans="1:12" s="10" customFormat="1" ht="18" x14ac:dyDescent="0.25">
      <c r="A721" s="11">
        <v>717</v>
      </c>
      <c r="B721" s="28" t="s">
        <v>524</v>
      </c>
      <c r="C721" s="28" t="str">
        <f t="shared" si="27"/>
        <v>140501</v>
      </c>
      <c r="D721" s="28" t="str">
        <f>"14.140501/2024.00720/BC.O."</f>
        <v>14.140501/2024.00720/BC.O.</v>
      </c>
      <c r="E721" s="28" t="str">
        <f>"200400028558"</f>
        <v>200400028558</v>
      </c>
      <c r="F721" s="28" t="str">
        <f>"MESA/DE MADERA PARA JUNTAS"</f>
        <v>MESA/DE MADERA PARA JUNTAS</v>
      </c>
      <c r="G721" s="28" t="s">
        <v>19</v>
      </c>
      <c r="H721" s="28" t="s">
        <v>20</v>
      </c>
      <c r="I721" s="29">
        <v>1</v>
      </c>
      <c r="J721" s="28" t="s">
        <v>21</v>
      </c>
      <c r="K721" s="12" t="s">
        <v>22</v>
      </c>
      <c r="L721" s="13">
        <v>40</v>
      </c>
    </row>
    <row r="722" spans="1:12" s="10" customFormat="1" ht="18" x14ac:dyDescent="0.25">
      <c r="A722" s="11">
        <v>718</v>
      </c>
      <c r="B722" s="28" t="s">
        <v>524</v>
      </c>
      <c r="C722" s="28" t="str">
        <f t="shared" si="27"/>
        <v>140501</v>
      </c>
      <c r="D722" s="28" t="str">
        <f>"14.140501/2024.00675/BC.O."</f>
        <v>14.140501/2024.00675/BC.O.</v>
      </c>
      <c r="E722" s="28" t="str">
        <f>"200400048907"</f>
        <v>200400048907</v>
      </c>
      <c r="F722" s="28" t="str">
        <f>"ESCRITORIO/METALICO DE DOS NIVELES"</f>
        <v>ESCRITORIO/METALICO DE DOS NIVELES</v>
      </c>
      <c r="G722" s="28" t="s">
        <v>19</v>
      </c>
      <c r="H722" s="28" t="s">
        <v>20</v>
      </c>
      <c r="I722" s="29">
        <v>1</v>
      </c>
      <c r="J722" s="28" t="s">
        <v>21</v>
      </c>
      <c r="K722" s="12" t="s">
        <v>22</v>
      </c>
      <c r="L722" s="13">
        <v>50</v>
      </c>
    </row>
    <row r="723" spans="1:12" s="10" customFormat="1" ht="18" x14ac:dyDescent="0.25">
      <c r="A723" s="11">
        <v>719</v>
      </c>
      <c r="B723" s="28" t="s">
        <v>524</v>
      </c>
      <c r="C723" s="28" t="str">
        <f t="shared" si="27"/>
        <v>140501</v>
      </c>
      <c r="D723" s="28" t="str">
        <f>"14.140501/2024.00665/BC.O."</f>
        <v>14.140501/2024.00665/BC.O.</v>
      </c>
      <c r="E723" s="28" t="str">
        <f>"200400048932"</f>
        <v>200400048932</v>
      </c>
      <c r="F723" s="28" t="str">
        <f>"MESA/METALICA ESCRITORIO"</f>
        <v>MESA/METALICA ESCRITORIO</v>
      </c>
      <c r="G723" s="28" t="s">
        <v>19</v>
      </c>
      <c r="H723" s="28" t="s">
        <v>20</v>
      </c>
      <c r="I723" s="29">
        <v>1</v>
      </c>
      <c r="J723" s="28" t="s">
        <v>21</v>
      </c>
      <c r="K723" s="12" t="s">
        <v>22</v>
      </c>
      <c r="L723" s="13">
        <v>35</v>
      </c>
    </row>
    <row r="724" spans="1:12" s="10" customFormat="1" ht="18" x14ac:dyDescent="0.25">
      <c r="A724" s="11">
        <v>720</v>
      </c>
      <c r="B724" s="28" t="s">
        <v>524</v>
      </c>
      <c r="C724" s="28" t="str">
        <f t="shared" si="27"/>
        <v>140501</v>
      </c>
      <c r="D724" s="28" t="str">
        <f>"14.140501/2024.00695/BC.O."</f>
        <v>14.140501/2024.00695/BC.O.</v>
      </c>
      <c r="E724" s="28" t="str">
        <f>"200800020650"</f>
        <v>200800020650</v>
      </c>
      <c r="F724" s="28" t="str">
        <f>"REFRIGERADOR/TIPO DOMESTICO"</f>
        <v>REFRIGERADOR/TIPO DOMESTICO</v>
      </c>
      <c r="G724" s="28" t="s">
        <v>19</v>
      </c>
      <c r="H724" s="28" t="s">
        <v>20</v>
      </c>
      <c r="I724" s="29">
        <v>1</v>
      </c>
      <c r="J724" s="28" t="s">
        <v>21</v>
      </c>
      <c r="K724" s="12" t="s">
        <v>22</v>
      </c>
      <c r="L724" s="13">
        <v>80</v>
      </c>
    </row>
    <row r="725" spans="1:12" s="10" customFormat="1" ht="18" x14ac:dyDescent="0.25">
      <c r="A725" s="11">
        <v>721</v>
      </c>
      <c r="B725" s="28" t="s">
        <v>524</v>
      </c>
      <c r="C725" s="28" t="str">
        <f t="shared" si="27"/>
        <v>140501</v>
      </c>
      <c r="D725" s="28" t="str">
        <f>"14.140501/2024.00696/BC.O."</f>
        <v>14.140501/2024.00696/BC.O.</v>
      </c>
      <c r="E725" s="28" t="str">
        <f>"200900000043"</f>
        <v>200900000043</v>
      </c>
      <c r="F725" s="28" t="str">
        <f>"CARRO/CAMILLA"</f>
        <v>CARRO/CAMILLA</v>
      </c>
      <c r="G725" s="28" t="s">
        <v>19</v>
      </c>
      <c r="H725" s="28" t="s">
        <v>20</v>
      </c>
      <c r="I725" s="29">
        <v>1</v>
      </c>
      <c r="J725" s="28" t="s">
        <v>21</v>
      </c>
      <c r="K725" s="12" t="s">
        <v>22</v>
      </c>
      <c r="L725" s="13">
        <v>150</v>
      </c>
    </row>
    <row r="726" spans="1:12" s="10" customFormat="1" ht="18" x14ac:dyDescent="0.25">
      <c r="A726" s="11">
        <v>722</v>
      </c>
      <c r="B726" s="28" t="s">
        <v>524</v>
      </c>
      <c r="C726" s="28" t="str">
        <f t="shared" si="27"/>
        <v>140501</v>
      </c>
      <c r="D726" s="28" t="str">
        <f>"14.140501/2024.00698/BC.O."</f>
        <v>14.140501/2024.00698/BC.O.</v>
      </c>
      <c r="E726" s="28" t="str">
        <f>"200900000045"</f>
        <v>200900000045</v>
      </c>
      <c r="F726" s="28" t="str">
        <f>"CARRO/CAMILLA"</f>
        <v>CARRO/CAMILLA</v>
      </c>
      <c r="G726" s="28" t="s">
        <v>19</v>
      </c>
      <c r="H726" s="28" t="s">
        <v>20</v>
      </c>
      <c r="I726" s="29">
        <v>1</v>
      </c>
      <c r="J726" s="28" t="s">
        <v>21</v>
      </c>
      <c r="K726" s="12" t="s">
        <v>22</v>
      </c>
      <c r="L726" s="13">
        <v>150</v>
      </c>
    </row>
    <row r="727" spans="1:12" s="10" customFormat="1" ht="18" x14ac:dyDescent="0.25">
      <c r="A727" s="11">
        <v>723</v>
      </c>
      <c r="B727" s="28" t="s">
        <v>524</v>
      </c>
      <c r="C727" s="28" t="str">
        <f t="shared" si="27"/>
        <v>140501</v>
      </c>
      <c r="D727" s="28" t="str">
        <f>"14.140501/2024.00697/BC.O."</f>
        <v>14.140501/2024.00697/BC.O.</v>
      </c>
      <c r="E727" s="28" t="str">
        <f>"200900000046"</f>
        <v>200900000046</v>
      </c>
      <c r="F727" s="28" t="str">
        <f>"CARRO/CAMILLA"</f>
        <v>CARRO/CAMILLA</v>
      </c>
      <c r="G727" s="28" t="s">
        <v>19</v>
      </c>
      <c r="H727" s="28" t="s">
        <v>20</v>
      </c>
      <c r="I727" s="29">
        <v>1</v>
      </c>
      <c r="J727" s="28" t="s">
        <v>21</v>
      </c>
      <c r="K727" s="12" t="s">
        <v>22</v>
      </c>
      <c r="L727" s="13">
        <v>150</v>
      </c>
    </row>
    <row r="728" spans="1:12" s="10" customFormat="1" ht="18" x14ac:dyDescent="0.25">
      <c r="A728" s="11">
        <v>724</v>
      </c>
      <c r="B728" s="28" t="s">
        <v>524</v>
      </c>
      <c r="C728" s="28" t="str">
        <f t="shared" si="27"/>
        <v>140501</v>
      </c>
      <c r="D728" s="28" t="str">
        <f>"14.140501/2024.00699/BC.O."</f>
        <v>14.140501/2024.00699/BC.O.</v>
      </c>
      <c r="E728" s="28" t="str">
        <f>"200900000047"</f>
        <v>200900000047</v>
      </c>
      <c r="F728" s="28" t="str">
        <f>"CARRO/CAMILLA"</f>
        <v>CARRO/CAMILLA</v>
      </c>
      <c r="G728" s="28" t="s">
        <v>19</v>
      </c>
      <c r="H728" s="28" t="s">
        <v>20</v>
      </c>
      <c r="I728" s="29">
        <v>1</v>
      </c>
      <c r="J728" s="28" t="s">
        <v>21</v>
      </c>
      <c r="K728" s="12" t="s">
        <v>22</v>
      </c>
      <c r="L728" s="13">
        <v>150</v>
      </c>
    </row>
    <row r="729" spans="1:12" s="10" customFormat="1" ht="18" x14ac:dyDescent="0.25">
      <c r="A729" s="11">
        <v>725</v>
      </c>
      <c r="B729" s="28" t="s">
        <v>524</v>
      </c>
      <c r="C729" s="28" t="str">
        <f t="shared" si="27"/>
        <v>140501</v>
      </c>
      <c r="D729" s="28" t="str">
        <f>"14.140501/2024.00700/BC.O."</f>
        <v>14.140501/2024.00700/BC.O.</v>
      </c>
      <c r="E729" s="28" t="str">
        <f>"200900009397"</f>
        <v>200900009397</v>
      </c>
      <c r="F729" s="28" t="str">
        <f t="shared" ref="F729:F734" si="28">"CARRO/CAMILLA DE TRANSFERENCIA JUEGO"</f>
        <v>CARRO/CAMILLA DE TRANSFERENCIA JUEGO</v>
      </c>
      <c r="G729" s="28" t="s">
        <v>19</v>
      </c>
      <c r="H729" s="28" t="s">
        <v>20</v>
      </c>
      <c r="I729" s="29">
        <v>1</v>
      </c>
      <c r="J729" s="28" t="s">
        <v>21</v>
      </c>
      <c r="K729" s="12" t="s">
        <v>22</v>
      </c>
      <c r="L729" s="13">
        <v>150</v>
      </c>
    </row>
    <row r="730" spans="1:12" s="10" customFormat="1" ht="18" x14ac:dyDescent="0.25">
      <c r="A730" s="11">
        <v>726</v>
      </c>
      <c r="B730" s="28" t="s">
        <v>524</v>
      </c>
      <c r="C730" s="28" t="str">
        <f t="shared" si="27"/>
        <v>140501</v>
      </c>
      <c r="D730" s="28" t="str">
        <f>"14.140501/2024.00701/BC.O."</f>
        <v>14.140501/2024.00701/BC.O.</v>
      </c>
      <c r="E730" s="28" t="str">
        <f>"200900009398"</f>
        <v>200900009398</v>
      </c>
      <c r="F730" s="28" t="str">
        <f t="shared" si="28"/>
        <v>CARRO/CAMILLA DE TRANSFERENCIA JUEGO</v>
      </c>
      <c r="G730" s="28" t="s">
        <v>19</v>
      </c>
      <c r="H730" s="28" t="s">
        <v>20</v>
      </c>
      <c r="I730" s="29">
        <v>1</v>
      </c>
      <c r="J730" s="28" t="s">
        <v>21</v>
      </c>
      <c r="K730" s="12" t="s">
        <v>22</v>
      </c>
      <c r="L730" s="13">
        <v>150</v>
      </c>
    </row>
    <row r="731" spans="1:12" s="10" customFormat="1" ht="18" x14ac:dyDescent="0.25">
      <c r="A731" s="11">
        <v>727</v>
      </c>
      <c r="B731" s="28" t="s">
        <v>524</v>
      </c>
      <c r="C731" s="28" t="str">
        <f t="shared" si="27"/>
        <v>140501</v>
      </c>
      <c r="D731" s="28" t="str">
        <f>"14.140501/2024.00702/BC.O."</f>
        <v>14.140501/2024.00702/BC.O.</v>
      </c>
      <c r="E731" s="28" t="str">
        <f>"200900009399"</f>
        <v>200900009399</v>
      </c>
      <c r="F731" s="28" t="str">
        <f t="shared" si="28"/>
        <v>CARRO/CAMILLA DE TRANSFERENCIA JUEGO</v>
      </c>
      <c r="G731" s="28" t="s">
        <v>19</v>
      </c>
      <c r="H731" s="28" t="s">
        <v>20</v>
      </c>
      <c r="I731" s="29">
        <v>1</v>
      </c>
      <c r="J731" s="28" t="s">
        <v>21</v>
      </c>
      <c r="K731" s="12" t="s">
        <v>22</v>
      </c>
      <c r="L731" s="13">
        <v>150</v>
      </c>
    </row>
    <row r="732" spans="1:12" s="10" customFormat="1" ht="18" x14ac:dyDescent="0.25">
      <c r="A732" s="11">
        <v>728</v>
      </c>
      <c r="B732" s="28" t="s">
        <v>524</v>
      </c>
      <c r="C732" s="28" t="str">
        <f t="shared" si="27"/>
        <v>140501</v>
      </c>
      <c r="D732" s="28" t="str">
        <f>"14.140501/2024.00703/BC.O."</f>
        <v>14.140501/2024.00703/BC.O.</v>
      </c>
      <c r="E732" s="28" t="str">
        <f>"200900009400"</f>
        <v>200900009400</v>
      </c>
      <c r="F732" s="28" t="str">
        <f t="shared" si="28"/>
        <v>CARRO/CAMILLA DE TRANSFERENCIA JUEGO</v>
      </c>
      <c r="G732" s="28" t="s">
        <v>19</v>
      </c>
      <c r="H732" s="28" t="s">
        <v>20</v>
      </c>
      <c r="I732" s="29">
        <v>1</v>
      </c>
      <c r="J732" s="28" t="s">
        <v>21</v>
      </c>
      <c r="K732" s="12" t="s">
        <v>22</v>
      </c>
      <c r="L732" s="13">
        <v>150</v>
      </c>
    </row>
    <row r="733" spans="1:12" s="10" customFormat="1" ht="18" x14ac:dyDescent="0.25">
      <c r="A733" s="11">
        <v>729</v>
      </c>
      <c r="B733" s="28" t="s">
        <v>524</v>
      </c>
      <c r="C733" s="28" t="str">
        <f t="shared" si="27"/>
        <v>140501</v>
      </c>
      <c r="D733" s="28" t="str">
        <f>"14.140501/2024.00704/BC.O."</f>
        <v>14.140501/2024.00704/BC.O.</v>
      </c>
      <c r="E733" s="28" t="str">
        <f>"200900009401"</f>
        <v>200900009401</v>
      </c>
      <c r="F733" s="28" t="str">
        <f t="shared" si="28"/>
        <v>CARRO/CAMILLA DE TRANSFERENCIA JUEGO</v>
      </c>
      <c r="G733" s="28" t="s">
        <v>19</v>
      </c>
      <c r="H733" s="28" t="s">
        <v>20</v>
      </c>
      <c r="I733" s="29">
        <v>1</v>
      </c>
      <c r="J733" s="28" t="s">
        <v>21</v>
      </c>
      <c r="K733" s="12" t="s">
        <v>22</v>
      </c>
      <c r="L733" s="13">
        <v>150</v>
      </c>
    </row>
    <row r="734" spans="1:12" s="10" customFormat="1" ht="18" x14ac:dyDescent="0.25">
      <c r="A734" s="11">
        <v>730</v>
      </c>
      <c r="B734" s="28" t="s">
        <v>524</v>
      </c>
      <c r="C734" s="28" t="str">
        <f t="shared" si="27"/>
        <v>140501</v>
      </c>
      <c r="D734" s="28" t="str">
        <f>"14.140501/2024.00705/BC.O."</f>
        <v>14.140501/2024.00705/BC.O.</v>
      </c>
      <c r="E734" s="28" t="str">
        <f>"200900009402"</f>
        <v>200900009402</v>
      </c>
      <c r="F734" s="28" t="str">
        <f t="shared" si="28"/>
        <v>CARRO/CAMILLA DE TRANSFERENCIA JUEGO</v>
      </c>
      <c r="G734" s="28" t="s">
        <v>19</v>
      </c>
      <c r="H734" s="28" t="s">
        <v>20</v>
      </c>
      <c r="I734" s="29">
        <v>1</v>
      </c>
      <c r="J734" s="28" t="s">
        <v>21</v>
      </c>
      <c r="K734" s="12" t="s">
        <v>22</v>
      </c>
      <c r="L734" s="13">
        <v>150</v>
      </c>
    </row>
    <row r="735" spans="1:12" s="10" customFormat="1" ht="18" x14ac:dyDescent="0.25">
      <c r="A735" s="11">
        <v>731</v>
      </c>
      <c r="B735" s="28" t="s">
        <v>524</v>
      </c>
      <c r="C735" s="28" t="str">
        <f t="shared" si="27"/>
        <v>140501</v>
      </c>
      <c r="D735" s="28" t="str">
        <f>"14.140501/2024.00711/BC.O."</f>
        <v>14.140501/2024.00711/BC.O.</v>
      </c>
      <c r="E735" s="28" t="str">
        <f>"201100006412"</f>
        <v>201100006412</v>
      </c>
      <c r="F735" s="28" t="str">
        <f>"CAMILLA/RADIOTRANSPARENTE"</f>
        <v>CAMILLA/RADIOTRANSPARENTE</v>
      </c>
      <c r="G735" s="28" t="s">
        <v>19</v>
      </c>
      <c r="H735" s="28" t="s">
        <v>20</v>
      </c>
      <c r="I735" s="29">
        <v>1</v>
      </c>
      <c r="J735" s="28" t="s">
        <v>21</v>
      </c>
      <c r="K735" s="12" t="s">
        <v>22</v>
      </c>
      <c r="L735" s="13">
        <v>150</v>
      </c>
    </row>
    <row r="736" spans="1:12" s="10" customFormat="1" ht="18" x14ac:dyDescent="0.25">
      <c r="A736" s="11">
        <v>732</v>
      </c>
      <c r="B736" s="28" t="s">
        <v>524</v>
      </c>
      <c r="C736" s="28" t="str">
        <f t="shared" si="27"/>
        <v>140501</v>
      </c>
      <c r="D736" s="28" t="str">
        <f>"14.140501/2024.00716/BC.O."</f>
        <v>14.140501/2024.00716/BC.O.</v>
      </c>
      <c r="E736" s="28" t="str">
        <f>"201100017531"</f>
        <v>201100017531</v>
      </c>
      <c r="F736" s="28" t="str">
        <f>"ESTUFON/A BASE DE GAS"</f>
        <v>ESTUFON/A BASE DE GAS</v>
      </c>
      <c r="G736" s="28" t="s">
        <v>19</v>
      </c>
      <c r="H736" s="28" t="s">
        <v>20</v>
      </c>
      <c r="I736" s="29">
        <v>1</v>
      </c>
      <c r="J736" s="28" t="s">
        <v>21</v>
      </c>
      <c r="K736" s="12" t="s">
        <v>22</v>
      </c>
      <c r="L736" s="13">
        <v>35</v>
      </c>
    </row>
    <row r="737" spans="1:12" s="10" customFormat="1" ht="18" x14ac:dyDescent="0.25">
      <c r="A737" s="11">
        <v>733</v>
      </c>
      <c r="B737" s="28" t="s">
        <v>524</v>
      </c>
      <c r="C737" s="28" t="str">
        <f t="shared" si="27"/>
        <v>140501</v>
      </c>
      <c r="D737" s="28" t="str">
        <f>"14.140501/2024.00738/BC.O."</f>
        <v>14.140501/2024.00738/BC.O.</v>
      </c>
      <c r="E737" s="28" t="str">
        <f>"201800007504"</f>
        <v>201800007504</v>
      </c>
      <c r="F737" s="28" t="str">
        <f t="shared" ref="F737:F746" si="29">"SILLA/MODELO ESPECIAL"</f>
        <v>SILLA/MODELO ESPECIAL</v>
      </c>
      <c r="G737" s="28" t="s">
        <v>19</v>
      </c>
      <c r="H737" s="28" t="s">
        <v>20</v>
      </c>
      <c r="I737" s="29">
        <v>1</v>
      </c>
      <c r="J737" s="28" t="s">
        <v>21</v>
      </c>
      <c r="K737" s="12" t="s">
        <v>22</v>
      </c>
      <c r="L737" s="13">
        <v>25</v>
      </c>
    </row>
    <row r="738" spans="1:12" s="10" customFormat="1" ht="18" x14ac:dyDescent="0.25">
      <c r="A738" s="11">
        <v>734</v>
      </c>
      <c r="B738" s="28" t="s">
        <v>524</v>
      </c>
      <c r="C738" s="28" t="str">
        <f t="shared" si="27"/>
        <v>140501</v>
      </c>
      <c r="D738" s="28" t="str">
        <f>"14.140501/2024.00739/BC.O."</f>
        <v>14.140501/2024.00739/BC.O.</v>
      </c>
      <c r="E738" s="28" t="str">
        <f>"201800007505"</f>
        <v>201800007505</v>
      </c>
      <c r="F738" s="28" t="str">
        <f t="shared" si="29"/>
        <v>SILLA/MODELO ESPECIAL</v>
      </c>
      <c r="G738" s="28" t="s">
        <v>19</v>
      </c>
      <c r="H738" s="28" t="s">
        <v>20</v>
      </c>
      <c r="I738" s="29">
        <v>1</v>
      </c>
      <c r="J738" s="28" t="s">
        <v>21</v>
      </c>
      <c r="K738" s="12" t="s">
        <v>22</v>
      </c>
      <c r="L738" s="13">
        <v>25</v>
      </c>
    </row>
    <row r="739" spans="1:12" s="10" customFormat="1" ht="18" x14ac:dyDescent="0.25">
      <c r="A739" s="11">
        <v>735</v>
      </c>
      <c r="B739" s="28" t="s">
        <v>524</v>
      </c>
      <c r="C739" s="28" t="str">
        <f t="shared" si="27"/>
        <v>140501</v>
      </c>
      <c r="D739" s="28" t="str">
        <f>"14.140501/2024.00740/BC.O."</f>
        <v>14.140501/2024.00740/BC.O.</v>
      </c>
      <c r="E739" s="28" t="str">
        <f>"201800007506"</f>
        <v>201800007506</v>
      </c>
      <c r="F739" s="28" t="str">
        <f t="shared" si="29"/>
        <v>SILLA/MODELO ESPECIAL</v>
      </c>
      <c r="G739" s="28" t="s">
        <v>19</v>
      </c>
      <c r="H739" s="28" t="s">
        <v>20</v>
      </c>
      <c r="I739" s="29">
        <v>1</v>
      </c>
      <c r="J739" s="28" t="s">
        <v>21</v>
      </c>
      <c r="K739" s="12" t="s">
        <v>22</v>
      </c>
      <c r="L739" s="13">
        <v>25</v>
      </c>
    </row>
    <row r="740" spans="1:12" s="10" customFormat="1" ht="18" x14ac:dyDescent="0.25">
      <c r="A740" s="11">
        <v>736</v>
      </c>
      <c r="B740" s="28" t="s">
        <v>524</v>
      </c>
      <c r="C740" s="28" t="str">
        <f t="shared" si="27"/>
        <v>140501</v>
      </c>
      <c r="D740" s="28" t="str">
        <f>"14.140501/2024.00741/BC.O."</f>
        <v>14.140501/2024.00741/BC.O.</v>
      </c>
      <c r="E740" s="28" t="str">
        <f>"201800007507"</f>
        <v>201800007507</v>
      </c>
      <c r="F740" s="28" t="str">
        <f t="shared" si="29"/>
        <v>SILLA/MODELO ESPECIAL</v>
      </c>
      <c r="G740" s="28" t="s">
        <v>19</v>
      </c>
      <c r="H740" s="28" t="s">
        <v>20</v>
      </c>
      <c r="I740" s="29">
        <v>1</v>
      </c>
      <c r="J740" s="28" t="s">
        <v>21</v>
      </c>
      <c r="K740" s="12" t="s">
        <v>22</v>
      </c>
      <c r="L740" s="13">
        <v>25</v>
      </c>
    </row>
    <row r="741" spans="1:12" s="10" customFormat="1" ht="18" x14ac:dyDescent="0.25">
      <c r="A741" s="11">
        <v>737</v>
      </c>
      <c r="B741" s="28" t="s">
        <v>524</v>
      </c>
      <c r="C741" s="28" t="str">
        <f t="shared" si="27"/>
        <v>140501</v>
      </c>
      <c r="D741" s="28" t="str">
        <f>"14.140501/2024.00742/BC.O."</f>
        <v>14.140501/2024.00742/BC.O.</v>
      </c>
      <c r="E741" s="28" t="str">
        <f>"201800007508"</f>
        <v>201800007508</v>
      </c>
      <c r="F741" s="28" t="str">
        <f t="shared" si="29"/>
        <v>SILLA/MODELO ESPECIAL</v>
      </c>
      <c r="G741" s="28" t="s">
        <v>19</v>
      </c>
      <c r="H741" s="28" t="s">
        <v>20</v>
      </c>
      <c r="I741" s="29">
        <v>1</v>
      </c>
      <c r="J741" s="28" t="s">
        <v>21</v>
      </c>
      <c r="K741" s="12" t="s">
        <v>22</v>
      </c>
      <c r="L741" s="13">
        <v>25</v>
      </c>
    </row>
    <row r="742" spans="1:12" s="10" customFormat="1" ht="18" x14ac:dyDescent="0.25">
      <c r="A742" s="11">
        <v>738</v>
      </c>
      <c r="B742" s="28" t="s">
        <v>524</v>
      </c>
      <c r="C742" s="28" t="str">
        <f t="shared" si="27"/>
        <v>140501</v>
      </c>
      <c r="D742" s="28" t="str">
        <f>"14.140501/2024.00743/BC.O."</f>
        <v>14.140501/2024.00743/BC.O.</v>
      </c>
      <c r="E742" s="28" t="str">
        <f>"201800007509"</f>
        <v>201800007509</v>
      </c>
      <c r="F742" s="28" t="str">
        <f t="shared" si="29"/>
        <v>SILLA/MODELO ESPECIAL</v>
      </c>
      <c r="G742" s="28" t="s">
        <v>19</v>
      </c>
      <c r="H742" s="28" t="s">
        <v>20</v>
      </c>
      <c r="I742" s="29">
        <v>1</v>
      </c>
      <c r="J742" s="28" t="s">
        <v>21</v>
      </c>
      <c r="K742" s="12" t="s">
        <v>22</v>
      </c>
      <c r="L742" s="13">
        <v>25</v>
      </c>
    </row>
    <row r="743" spans="1:12" s="10" customFormat="1" ht="18" x14ac:dyDescent="0.25">
      <c r="A743" s="11">
        <v>739</v>
      </c>
      <c r="B743" s="28" t="s">
        <v>524</v>
      </c>
      <c r="C743" s="28" t="str">
        <f t="shared" si="27"/>
        <v>140501</v>
      </c>
      <c r="D743" s="28" t="str">
        <f>"14.140501/2024.00744/BC.O."</f>
        <v>14.140501/2024.00744/BC.O.</v>
      </c>
      <c r="E743" s="28" t="str">
        <f>"201800007510"</f>
        <v>201800007510</v>
      </c>
      <c r="F743" s="28" t="str">
        <f t="shared" si="29"/>
        <v>SILLA/MODELO ESPECIAL</v>
      </c>
      <c r="G743" s="28" t="s">
        <v>19</v>
      </c>
      <c r="H743" s="28" t="s">
        <v>20</v>
      </c>
      <c r="I743" s="29">
        <v>1</v>
      </c>
      <c r="J743" s="28" t="s">
        <v>21</v>
      </c>
      <c r="K743" s="12" t="s">
        <v>22</v>
      </c>
      <c r="L743" s="13">
        <v>25</v>
      </c>
    </row>
    <row r="744" spans="1:12" s="10" customFormat="1" ht="18" x14ac:dyDescent="0.25">
      <c r="A744" s="11">
        <v>740</v>
      </c>
      <c r="B744" s="28" t="s">
        <v>524</v>
      </c>
      <c r="C744" s="28" t="str">
        <f t="shared" si="27"/>
        <v>140501</v>
      </c>
      <c r="D744" s="28" t="str">
        <f>"14.140501/2024.00745/BC.O."</f>
        <v>14.140501/2024.00745/BC.O.</v>
      </c>
      <c r="E744" s="28" t="str">
        <f>"201800007511"</f>
        <v>201800007511</v>
      </c>
      <c r="F744" s="28" t="str">
        <f t="shared" si="29"/>
        <v>SILLA/MODELO ESPECIAL</v>
      </c>
      <c r="G744" s="28" t="s">
        <v>19</v>
      </c>
      <c r="H744" s="28" t="s">
        <v>20</v>
      </c>
      <c r="I744" s="29">
        <v>1</v>
      </c>
      <c r="J744" s="28" t="s">
        <v>21</v>
      </c>
      <c r="K744" s="12" t="s">
        <v>22</v>
      </c>
      <c r="L744" s="13">
        <v>25</v>
      </c>
    </row>
    <row r="745" spans="1:12" s="10" customFormat="1" ht="18" x14ac:dyDescent="0.25">
      <c r="A745" s="11">
        <v>741</v>
      </c>
      <c r="B745" s="28" t="s">
        <v>524</v>
      </c>
      <c r="C745" s="28" t="str">
        <f t="shared" si="27"/>
        <v>140501</v>
      </c>
      <c r="D745" s="28" t="str">
        <f>"14.140501/2024.00746/BC.O."</f>
        <v>14.140501/2024.00746/BC.O.</v>
      </c>
      <c r="E745" s="28" t="str">
        <f>"201800007512"</f>
        <v>201800007512</v>
      </c>
      <c r="F745" s="28" t="str">
        <f t="shared" si="29"/>
        <v>SILLA/MODELO ESPECIAL</v>
      </c>
      <c r="G745" s="28" t="s">
        <v>19</v>
      </c>
      <c r="H745" s="28" t="s">
        <v>20</v>
      </c>
      <c r="I745" s="29">
        <v>1</v>
      </c>
      <c r="J745" s="28" t="s">
        <v>21</v>
      </c>
      <c r="K745" s="12" t="s">
        <v>22</v>
      </c>
      <c r="L745" s="13">
        <v>25</v>
      </c>
    </row>
    <row r="746" spans="1:12" s="10" customFormat="1" ht="18" x14ac:dyDescent="0.25">
      <c r="A746" s="11">
        <v>742</v>
      </c>
      <c r="B746" s="28" t="s">
        <v>524</v>
      </c>
      <c r="C746" s="28" t="str">
        <f t="shared" si="27"/>
        <v>140501</v>
      </c>
      <c r="D746" s="28" t="str">
        <f>"14.140501/2024.00747/BC.O."</f>
        <v>14.140501/2024.00747/BC.O.</v>
      </c>
      <c r="E746" s="28" t="str">
        <f>"201800007513"</f>
        <v>201800007513</v>
      </c>
      <c r="F746" s="28" t="str">
        <f t="shared" si="29"/>
        <v>SILLA/MODELO ESPECIAL</v>
      </c>
      <c r="G746" s="28" t="s">
        <v>19</v>
      </c>
      <c r="H746" s="28" t="s">
        <v>20</v>
      </c>
      <c r="I746" s="29">
        <v>1</v>
      </c>
      <c r="J746" s="28" t="s">
        <v>21</v>
      </c>
      <c r="K746" s="12" t="s">
        <v>22</v>
      </c>
      <c r="L746" s="13">
        <v>25</v>
      </c>
    </row>
    <row r="747" spans="1:12" s="10" customFormat="1" ht="18" x14ac:dyDescent="0.25">
      <c r="A747" s="11">
        <v>743</v>
      </c>
      <c r="B747" s="28" t="s">
        <v>524</v>
      </c>
      <c r="C747" s="28" t="str">
        <f t="shared" si="27"/>
        <v>140501</v>
      </c>
      <c r="D747" s="28" t="str">
        <f>"14.140501/2024.00748/BC.O."</f>
        <v>14.140501/2024.00748/BC.O.</v>
      </c>
      <c r="E747" s="28" t="str">
        <f>"201900001211"</f>
        <v>201900001211</v>
      </c>
      <c r="F747" s="28" t="str">
        <f t="shared" ref="F747:F753" si="30">"SILLA/PLEGADIZA"</f>
        <v>SILLA/PLEGADIZA</v>
      </c>
      <c r="G747" s="28" t="s">
        <v>19</v>
      </c>
      <c r="H747" s="28" t="s">
        <v>20</v>
      </c>
      <c r="I747" s="29">
        <v>1</v>
      </c>
      <c r="J747" s="28" t="s">
        <v>21</v>
      </c>
      <c r="K747" s="12" t="s">
        <v>22</v>
      </c>
      <c r="L747" s="13">
        <v>25</v>
      </c>
    </row>
    <row r="748" spans="1:12" s="10" customFormat="1" ht="18" x14ac:dyDescent="0.25">
      <c r="A748" s="11">
        <v>744</v>
      </c>
      <c r="B748" s="28" t="s">
        <v>524</v>
      </c>
      <c r="C748" s="28" t="str">
        <f t="shared" si="27"/>
        <v>140501</v>
      </c>
      <c r="D748" s="28" t="str">
        <f>"14.140501/2024.00749/BC.O."</f>
        <v>14.140501/2024.00749/BC.O.</v>
      </c>
      <c r="E748" s="28" t="str">
        <f>"201900001212"</f>
        <v>201900001212</v>
      </c>
      <c r="F748" s="28" t="str">
        <f t="shared" si="30"/>
        <v>SILLA/PLEGADIZA</v>
      </c>
      <c r="G748" s="28" t="s">
        <v>19</v>
      </c>
      <c r="H748" s="28" t="s">
        <v>20</v>
      </c>
      <c r="I748" s="29">
        <v>1</v>
      </c>
      <c r="J748" s="28" t="s">
        <v>21</v>
      </c>
      <c r="K748" s="12" t="s">
        <v>22</v>
      </c>
      <c r="L748" s="13">
        <v>25</v>
      </c>
    </row>
    <row r="749" spans="1:12" s="10" customFormat="1" ht="18" x14ac:dyDescent="0.25">
      <c r="A749" s="11">
        <v>745</v>
      </c>
      <c r="B749" s="28" t="s">
        <v>524</v>
      </c>
      <c r="C749" s="28" t="str">
        <f t="shared" si="27"/>
        <v>140501</v>
      </c>
      <c r="D749" s="28" t="str">
        <f>"14.140501/2024.00750/BC.O."</f>
        <v>14.140501/2024.00750/BC.O.</v>
      </c>
      <c r="E749" s="28" t="str">
        <f>"201900001213"</f>
        <v>201900001213</v>
      </c>
      <c r="F749" s="28" t="str">
        <f t="shared" si="30"/>
        <v>SILLA/PLEGADIZA</v>
      </c>
      <c r="G749" s="28" t="s">
        <v>19</v>
      </c>
      <c r="H749" s="28" t="s">
        <v>20</v>
      </c>
      <c r="I749" s="29">
        <v>1</v>
      </c>
      <c r="J749" s="28" t="s">
        <v>21</v>
      </c>
      <c r="K749" s="12" t="s">
        <v>22</v>
      </c>
      <c r="L749" s="13">
        <v>25</v>
      </c>
    </row>
    <row r="750" spans="1:12" s="10" customFormat="1" ht="18" x14ac:dyDescent="0.25">
      <c r="A750" s="11">
        <v>746</v>
      </c>
      <c r="B750" s="28" t="s">
        <v>524</v>
      </c>
      <c r="C750" s="28" t="str">
        <f t="shared" si="27"/>
        <v>140501</v>
      </c>
      <c r="D750" s="28" t="str">
        <f>"14.140501/2024.00751/BC.O."</f>
        <v>14.140501/2024.00751/BC.O.</v>
      </c>
      <c r="E750" s="28" t="str">
        <f>"201900001214"</f>
        <v>201900001214</v>
      </c>
      <c r="F750" s="28" t="str">
        <f t="shared" si="30"/>
        <v>SILLA/PLEGADIZA</v>
      </c>
      <c r="G750" s="28" t="s">
        <v>19</v>
      </c>
      <c r="H750" s="28" t="s">
        <v>20</v>
      </c>
      <c r="I750" s="29">
        <v>1</v>
      </c>
      <c r="J750" s="28" t="s">
        <v>21</v>
      </c>
      <c r="K750" s="12" t="s">
        <v>22</v>
      </c>
      <c r="L750" s="13">
        <v>25</v>
      </c>
    </row>
    <row r="751" spans="1:12" s="10" customFormat="1" ht="18" x14ac:dyDescent="0.25">
      <c r="A751" s="11">
        <v>747</v>
      </c>
      <c r="B751" s="28" t="s">
        <v>524</v>
      </c>
      <c r="C751" s="28" t="str">
        <f t="shared" si="27"/>
        <v>140501</v>
      </c>
      <c r="D751" s="28" t="str">
        <f>"14.140501/2024.00752/BC.O."</f>
        <v>14.140501/2024.00752/BC.O.</v>
      </c>
      <c r="E751" s="28" t="str">
        <f>"201900001215"</f>
        <v>201900001215</v>
      </c>
      <c r="F751" s="28" t="str">
        <f t="shared" si="30"/>
        <v>SILLA/PLEGADIZA</v>
      </c>
      <c r="G751" s="28" t="s">
        <v>19</v>
      </c>
      <c r="H751" s="28" t="s">
        <v>20</v>
      </c>
      <c r="I751" s="29">
        <v>1</v>
      </c>
      <c r="J751" s="28" t="s">
        <v>21</v>
      </c>
      <c r="K751" s="12" t="s">
        <v>22</v>
      </c>
      <c r="L751" s="13">
        <v>25</v>
      </c>
    </row>
    <row r="752" spans="1:12" s="10" customFormat="1" ht="18" x14ac:dyDescent="0.25">
      <c r="A752" s="11">
        <v>748</v>
      </c>
      <c r="B752" s="28" t="s">
        <v>524</v>
      </c>
      <c r="C752" s="28" t="str">
        <f t="shared" si="27"/>
        <v>140501</v>
      </c>
      <c r="D752" s="28" t="str">
        <f>"14.140501/2024.00753/BC.O."</f>
        <v>14.140501/2024.00753/BC.O.</v>
      </c>
      <c r="E752" s="28" t="str">
        <f>"201900001216"</f>
        <v>201900001216</v>
      </c>
      <c r="F752" s="28" t="str">
        <f t="shared" si="30"/>
        <v>SILLA/PLEGADIZA</v>
      </c>
      <c r="G752" s="28" t="s">
        <v>19</v>
      </c>
      <c r="H752" s="28" t="s">
        <v>20</v>
      </c>
      <c r="I752" s="29">
        <v>1</v>
      </c>
      <c r="J752" s="28" t="s">
        <v>21</v>
      </c>
      <c r="K752" s="12" t="s">
        <v>22</v>
      </c>
      <c r="L752" s="13">
        <v>25</v>
      </c>
    </row>
    <row r="753" spans="1:12" s="10" customFormat="1" ht="18" x14ac:dyDescent="0.25">
      <c r="A753" s="11">
        <v>749</v>
      </c>
      <c r="B753" s="28" t="s">
        <v>524</v>
      </c>
      <c r="C753" s="28" t="str">
        <f t="shared" si="27"/>
        <v>140501</v>
      </c>
      <c r="D753" s="28" t="str">
        <f>"14.140501/2024.00754/BC.O."</f>
        <v>14.140501/2024.00754/BC.O.</v>
      </c>
      <c r="E753" s="28" t="str">
        <f>"201900001217"</f>
        <v>201900001217</v>
      </c>
      <c r="F753" s="28" t="str">
        <f t="shared" si="30"/>
        <v>SILLA/PLEGADIZA</v>
      </c>
      <c r="G753" s="28" t="s">
        <v>19</v>
      </c>
      <c r="H753" s="28" t="s">
        <v>20</v>
      </c>
      <c r="I753" s="29">
        <v>1</v>
      </c>
      <c r="J753" s="28" t="s">
        <v>21</v>
      </c>
      <c r="K753" s="12" t="s">
        <v>22</v>
      </c>
      <c r="L753" s="13">
        <v>25</v>
      </c>
    </row>
    <row r="754" spans="1:12" s="10" customFormat="1" ht="18" x14ac:dyDescent="0.25">
      <c r="A754" s="11">
        <v>750</v>
      </c>
      <c r="B754" s="28" t="s">
        <v>524</v>
      </c>
      <c r="C754" s="28" t="str">
        <f t="shared" si="27"/>
        <v>140501</v>
      </c>
      <c r="D754" s="28" t="str">
        <f>"14.140501/2024.00725/BC.O."</f>
        <v>14.140501/2024.00725/BC.O.</v>
      </c>
      <c r="E754" s="28" t="str">
        <f>"202080001976"</f>
        <v>202080001976</v>
      </c>
      <c r="F754" s="28" t="str">
        <f>"EQUIPO MEDICO COVID-19"</f>
        <v>EQUIPO MEDICO COVID-19</v>
      </c>
      <c r="G754" s="28" t="s">
        <v>19</v>
      </c>
      <c r="H754" s="28" t="s">
        <v>20</v>
      </c>
      <c r="I754" s="29">
        <v>1</v>
      </c>
      <c r="J754" s="28" t="s">
        <v>21</v>
      </c>
      <c r="K754" s="12" t="s">
        <v>22</v>
      </c>
      <c r="L754" s="13">
        <v>100</v>
      </c>
    </row>
    <row r="755" spans="1:12" s="10" customFormat="1" ht="18" x14ac:dyDescent="0.25">
      <c r="A755" s="11">
        <v>751</v>
      </c>
      <c r="B755" s="28" t="s">
        <v>524</v>
      </c>
      <c r="C755" s="28" t="str">
        <f t="shared" si="27"/>
        <v>140501</v>
      </c>
      <c r="D755" s="28" t="str">
        <f>"14.140501/2024.00726/BC.O."</f>
        <v>14.140501/2024.00726/BC.O.</v>
      </c>
      <c r="E755" s="28" t="str">
        <f>"202080020799"</f>
        <v>202080020799</v>
      </c>
      <c r="F755" s="28" t="str">
        <f t="shared" ref="F755:F760" si="31">"MOBILIARIO MEDICO"</f>
        <v>MOBILIARIO MEDICO</v>
      </c>
      <c r="G755" s="28" t="s">
        <v>19</v>
      </c>
      <c r="H755" s="28" t="s">
        <v>20</v>
      </c>
      <c r="I755" s="29">
        <v>1</v>
      </c>
      <c r="J755" s="28" t="s">
        <v>21</v>
      </c>
      <c r="K755" s="12" t="s">
        <v>22</v>
      </c>
      <c r="L755" s="13">
        <v>50</v>
      </c>
    </row>
    <row r="756" spans="1:12" s="10" customFormat="1" ht="18" x14ac:dyDescent="0.25">
      <c r="A756" s="11">
        <v>752</v>
      </c>
      <c r="B756" s="28" t="s">
        <v>524</v>
      </c>
      <c r="C756" s="28" t="str">
        <f t="shared" si="27"/>
        <v>140501</v>
      </c>
      <c r="D756" s="28" t="str">
        <f>"14.140501/2024.00727/BC.O."</f>
        <v>14.140501/2024.00727/BC.O.</v>
      </c>
      <c r="E756" s="28" t="str">
        <f>"202080020820"</f>
        <v>202080020820</v>
      </c>
      <c r="F756" s="28" t="str">
        <f t="shared" si="31"/>
        <v>MOBILIARIO MEDICO</v>
      </c>
      <c r="G756" s="28" t="s">
        <v>19</v>
      </c>
      <c r="H756" s="28" t="s">
        <v>20</v>
      </c>
      <c r="I756" s="29">
        <v>1</v>
      </c>
      <c r="J756" s="28" t="s">
        <v>21</v>
      </c>
      <c r="K756" s="12" t="s">
        <v>22</v>
      </c>
      <c r="L756" s="13">
        <v>50</v>
      </c>
    </row>
    <row r="757" spans="1:12" s="10" customFormat="1" ht="18" x14ac:dyDescent="0.25">
      <c r="A757" s="11">
        <v>753</v>
      </c>
      <c r="B757" s="28" t="s">
        <v>524</v>
      </c>
      <c r="C757" s="28" t="str">
        <f t="shared" si="27"/>
        <v>140501</v>
      </c>
      <c r="D757" s="28" t="str">
        <f>"14.140501/2024.00728/BC.O."</f>
        <v>14.140501/2024.00728/BC.O.</v>
      </c>
      <c r="E757" s="28" t="str">
        <f>"202080020826"</f>
        <v>202080020826</v>
      </c>
      <c r="F757" s="28" t="str">
        <f t="shared" si="31"/>
        <v>MOBILIARIO MEDICO</v>
      </c>
      <c r="G757" s="28" t="s">
        <v>19</v>
      </c>
      <c r="H757" s="28" t="s">
        <v>20</v>
      </c>
      <c r="I757" s="29">
        <v>1</v>
      </c>
      <c r="J757" s="28" t="s">
        <v>21</v>
      </c>
      <c r="K757" s="12" t="s">
        <v>22</v>
      </c>
      <c r="L757" s="13">
        <v>50</v>
      </c>
    </row>
    <row r="758" spans="1:12" s="10" customFormat="1" ht="18" x14ac:dyDescent="0.25">
      <c r="A758" s="11">
        <v>754</v>
      </c>
      <c r="B758" s="28" t="s">
        <v>524</v>
      </c>
      <c r="C758" s="28" t="str">
        <f>"140501"</f>
        <v>140501</v>
      </c>
      <c r="D758" s="28" t="str">
        <f>"14.140501/2024.00729/BC.O."</f>
        <v>14.140501/2024.00729/BC.O.</v>
      </c>
      <c r="E758" s="28" t="str">
        <f>"202080020827"</f>
        <v>202080020827</v>
      </c>
      <c r="F758" s="28" t="str">
        <f t="shared" si="31"/>
        <v>MOBILIARIO MEDICO</v>
      </c>
      <c r="G758" s="28" t="s">
        <v>19</v>
      </c>
      <c r="H758" s="28" t="s">
        <v>20</v>
      </c>
      <c r="I758" s="29">
        <v>1</v>
      </c>
      <c r="J758" s="28" t="s">
        <v>21</v>
      </c>
      <c r="K758" s="12" t="s">
        <v>22</v>
      </c>
      <c r="L758" s="13">
        <v>50</v>
      </c>
    </row>
    <row r="759" spans="1:12" s="10" customFormat="1" ht="18" x14ac:dyDescent="0.25">
      <c r="A759" s="11">
        <v>755</v>
      </c>
      <c r="B759" s="28" t="s">
        <v>524</v>
      </c>
      <c r="C759" s="28" t="str">
        <f>"140501"</f>
        <v>140501</v>
      </c>
      <c r="D759" s="28" t="str">
        <f>"14.140501/2024.00730/BC.O."</f>
        <v>14.140501/2024.00730/BC.O.</v>
      </c>
      <c r="E759" s="28" t="str">
        <f>"202080020829"</f>
        <v>202080020829</v>
      </c>
      <c r="F759" s="28" t="str">
        <f t="shared" si="31"/>
        <v>MOBILIARIO MEDICO</v>
      </c>
      <c r="G759" s="28" t="s">
        <v>19</v>
      </c>
      <c r="H759" s="28" t="s">
        <v>20</v>
      </c>
      <c r="I759" s="29">
        <v>1</v>
      </c>
      <c r="J759" s="28" t="s">
        <v>21</v>
      </c>
      <c r="K759" s="12" t="s">
        <v>22</v>
      </c>
      <c r="L759" s="13">
        <v>50</v>
      </c>
    </row>
    <row r="760" spans="1:12" s="10" customFormat="1" ht="18" x14ac:dyDescent="0.25">
      <c r="A760" s="11">
        <v>756</v>
      </c>
      <c r="B760" s="28" t="s">
        <v>524</v>
      </c>
      <c r="C760" s="28" t="str">
        <f>"140501"</f>
        <v>140501</v>
      </c>
      <c r="D760" s="28" t="str">
        <f>"14.140501/2024.00731/BC.O."</f>
        <v>14.140501/2024.00731/BC.O.</v>
      </c>
      <c r="E760" s="28" t="str">
        <f>"202080020830"</f>
        <v>202080020830</v>
      </c>
      <c r="F760" s="28" t="str">
        <f t="shared" si="31"/>
        <v>MOBILIARIO MEDICO</v>
      </c>
      <c r="G760" s="28" t="s">
        <v>19</v>
      </c>
      <c r="H760" s="28" t="s">
        <v>20</v>
      </c>
      <c r="I760" s="29">
        <v>1</v>
      </c>
      <c r="J760" s="28" t="s">
        <v>21</v>
      </c>
      <c r="K760" s="12" t="s">
        <v>22</v>
      </c>
      <c r="L760" s="13">
        <v>50</v>
      </c>
    </row>
    <row r="761" spans="1:12" s="10" customFormat="1" ht="18" x14ac:dyDescent="0.25">
      <c r="A761" s="11">
        <v>757</v>
      </c>
      <c r="B761" s="12" t="s">
        <v>525</v>
      </c>
      <c r="C761" s="12" t="str">
        <f t="shared" ref="C761:C824" si="32">"140502"</f>
        <v>140502</v>
      </c>
      <c r="D761" s="12" t="str">
        <f>"14.140502/2024.01522/BC.O."</f>
        <v>14.140502/2024.01522/BC.O.</v>
      </c>
      <c r="E761" s="12" t="str">
        <f>"201080013102"</f>
        <v>201080013102</v>
      </c>
      <c r="F761" s="12" t="str">
        <f>"CAMARA/DE VIDEO"</f>
        <v>CAMARA/DE VIDEO</v>
      </c>
      <c r="G761" s="12" t="s">
        <v>19</v>
      </c>
      <c r="H761" s="12" t="s">
        <v>20</v>
      </c>
      <c r="I761" s="16">
        <v>1</v>
      </c>
      <c r="J761" s="12" t="s">
        <v>21</v>
      </c>
      <c r="K761" s="12" t="s">
        <v>22</v>
      </c>
      <c r="L761" s="13">
        <v>35</v>
      </c>
    </row>
    <row r="762" spans="1:12" s="10" customFormat="1" ht="18" x14ac:dyDescent="0.25">
      <c r="A762" s="11">
        <v>758</v>
      </c>
      <c r="B762" s="12" t="s">
        <v>525</v>
      </c>
      <c r="C762" s="12" t="str">
        <f t="shared" si="32"/>
        <v>140502</v>
      </c>
      <c r="D762" s="12" t="str">
        <f>"14.140502/2024.01520/BC.I."</f>
        <v>14.140502/2024.01520/BC.I.</v>
      </c>
      <c r="E762" s="12" t="str">
        <f>"2001973894"</f>
        <v>2001973894</v>
      </c>
      <c r="F762" s="12" t="str">
        <f>"COMPUTADORA/MICROCOMPUTADORA"</f>
        <v>COMPUTADORA/MICROCOMPUTADORA</v>
      </c>
      <c r="G762" s="12" t="s">
        <v>19</v>
      </c>
      <c r="H762" s="12" t="s">
        <v>20</v>
      </c>
      <c r="I762" s="16">
        <v>1</v>
      </c>
      <c r="J762" s="12" t="s">
        <v>21</v>
      </c>
      <c r="K762" s="12" t="s">
        <v>22</v>
      </c>
      <c r="L762" s="13">
        <v>35</v>
      </c>
    </row>
    <row r="763" spans="1:12" s="10" customFormat="1" ht="18" x14ac:dyDescent="0.25">
      <c r="A763" s="11">
        <v>759</v>
      </c>
      <c r="B763" s="12" t="s">
        <v>525</v>
      </c>
      <c r="C763" s="12" t="str">
        <f t="shared" si="32"/>
        <v>140502</v>
      </c>
      <c r="D763" s="12" t="str">
        <f>"14.140502/2024.01519/BC.I."</f>
        <v>14.140502/2024.01519/BC.I.</v>
      </c>
      <c r="E763" s="12" t="str">
        <f>"201080026430"</f>
        <v>201080026430</v>
      </c>
      <c r="F763" s="12" t="str">
        <f>"COMPUTADORA/MICROCOMPUTADORA"</f>
        <v>COMPUTADORA/MICROCOMPUTADORA</v>
      </c>
      <c r="G763" s="12" t="s">
        <v>19</v>
      </c>
      <c r="H763" s="12" t="s">
        <v>20</v>
      </c>
      <c r="I763" s="16">
        <v>1</v>
      </c>
      <c r="J763" s="12" t="s">
        <v>21</v>
      </c>
      <c r="K763" s="12" t="s">
        <v>22</v>
      </c>
      <c r="L763" s="13">
        <v>35</v>
      </c>
    </row>
    <row r="764" spans="1:12" s="10" customFormat="1" ht="18" x14ac:dyDescent="0.25">
      <c r="A764" s="11">
        <v>760</v>
      </c>
      <c r="B764" s="12" t="s">
        <v>525</v>
      </c>
      <c r="C764" s="12" t="str">
        <f t="shared" si="32"/>
        <v>140502</v>
      </c>
      <c r="D764" s="12" t="str">
        <f>"14.140502/2024.01521/BC.O."</f>
        <v>14.140502/2024.01521/BC.O.</v>
      </c>
      <c r="E764" s="12" t="str">
        <f>"201680035167"</f>
        <v>201680035167</v>
      </c>
      <c r="F764" s="12" t="str">
        <f>"KIT PARA MEDICOS"</f>
        <v>KIT PARA MEDICOS</v>
      </c>
      <c r="G764" s="12" t="s">
        <v>19</v>
      </c>
      <c r="H764" s="12" t="s">
        <v>20</v>
      </c>
      <c r="I764" s="16">
        <v>1</v>
      </c>
      <c r="J764" s="12" t="s">
        <v>21</v>
      </c>
      <c r="K764" s="12" t="s">
        <v>22</v>
      </c>
      <c r="L764" s="13">
        <v>50</v>
      </c>
    </row>
    <row r="765" spans="1:12" s="10" customFormat="1" ht="18" x14ac:dyDescent="0.25">
      <c r="A765" s="11">
        <v>761</v>
      </c>
      <c r="B765" s="12" t="s">
        <v>525</v>
      </c>
      <c r="C765" s="12" t="str">
        <f t="shared" si="32"/>
        <v>140502</v>
      </c>
      <c r="D765" s="12" t="str">
        <f>"14.140502/2024.01515/BC.I."</f>
        <v>14.140502/2024.01515/BC.I.</v>
      </c>
      <c r="E765" s="12" t="str">
        <f>"200580085794"</f>
        <v>200580085794</v>
      </c>
      <c r="F765" s="12" t="str">
        <f t="shared" ref="F765:F828" si="33">"COMPUTADORA/MICROCOMPUTADORA"</f>
        <v>COMPUTADORA/MICROCOMPUTADORA</v>
      </c>
      <c r="G765" s="12" t="s">
        <v>19</v>
      </c>
      <c r="H765" s="12" t="s">
        <v>20</v>
      </c>
      <c r="I765" s="16">
        <v>1</v>
      </c>
      <c r="J765" s="12" t="s">
        <v>21</v>
      </c>
      <c r="K765" s="12" t="s">
        <v>22</v>
      </c>
      <c r="L765" s="13">
        <v>35</v>
      </c>
    </row>
    <row r="766" spans="1:12" s="10" customFormat="1" ht="18" x14ac:dyDescent="0.25">
      <c r="A766" s="11">
        <v>762</v>
      </c>
      <c r="B766" s="12" t="s">
        <v>525</v>
      </c>
      <c r="C766" s="12" t="str">
        <f t="shared" si="32"/>
        <v>140502</v>
      </c>
      <c r="D766" s="12" t="str">
        <f>"14.140502/2024.01492/BC.I."</f>
        <v>14.140502/2024.01492/BC.I.</v>
      </c>
      <c r="E766" s="12" t="str">
        <f>"200580086032"</f>
        <v>200580086032</v>
      </c>
      <c r="F766" s="12" t="str">
        <f t="shared" si="33"/>
        <v>COMPUTADORA/MICROCOMPUTADORA</v>
      </c>
      <c r="G766" s="12" t="s">
        <v>19</v>
      </c>
      <c r="H766" s="12" t="s">
        <v>20</v>
      </c>
      <c r="I766" s="16">
        <v>1</v>
      </c>
      <c r="J766" s="12" t="s">
        <v>21</v>
      </c>
      <c r="K766" s="12" t="s">
        <v>22</v>
      </c>
      <c r="L766" s="13">
        <v>35</v>
      </c>
    </row>
    <row r="767" spans="1:12" s="10" customFormat="1" ht="18" x14ac:dyDescent="0.25">
      <c r="A767" s="11">
        <v>763</v>
      </c>
      <c r="B767" s="12" t="s">
        <v>525</v>
      </c>
      <c r="C767" s="12" t="str">
        <f t="shared" si="32"/>
        <v>140502</v>
      </c>
      <c r="D767" s="12" t="str">
        <f>"14.140502/2024.01470/BC.I."</f>
        <v>14.140502/2024.01470/BC.I.</v>
      </c>
      <c r="E767" s="12" t="str">
        <f>"200580086035"</f>
        <v>200580086035</v>
      </c>
      <c r="F767" s="12" t="str">
        <f t="shared" si="33"/>
        <v>COMPUTADORA/MICROCOMPUTADORA</v>
      </c>
      <c r="G767" s="12" t="s">
        <v>19</v>
      </c>
      <c r="H767" s="12" t="s">
        <v>20</v>
      </c>
      <c r="I767" s="16">
        <v>1</v>
      </c>
      <c r="J767" s="12" t="s">
        <v>21</v>
      </c>
      <c r="K767" s="12" t="s">
        <v>22</v>
      </c>
      <c r="L767" s="13">
        <v>35</v>
      </c>
    </row>
    <row r="768" spans="1:12" s="10" customFormat="1" ht="18" x14ac:dyDescent="0.25">
      <c r="A768" s="11">
        <v>764</v>
      </c>
      <c r="B768" s="12" t="s">
        <v>525</v>
      </c>
      <c r="C768" s="12" t="str">
        <f t="shared" si="32"/>
        <v>140502</v>
      </c>
      <c r="D768" s="12" t="str">
        <f>"14.140502/2024.01496/BC.I."</f>
        <v>14.140502/2024.01496/BC.I.</v>
      </c>
      <c r="E768" s="12" t="str">
        <f>"200580086045"</f>
        <v>200580086045</v>
      </c>
      <c r="F768" s="12" t="str">
        <f t="shared" si="33"/>
        <v>COMPUTADORA/MICROCOMPUTADORA</v>
      </c>
      <c r="G768" s="12" t="s">
        <v>19</v>
      </c>
      <c r="H768" s="12" t="s">
        <v>20</v>
      </c>
      <c r="I768" s="16">
        <v>1</v>
      </c>
      <c r="J768" s="12" t="s">
        <v>21</v>
      </c>
      <c r="K768" s="12" t="s">
        <v>22</v>
      </c>
      <c r="L768" s="13">
        <v>35</v>
      </c>
    </row>
    <row r="769" spans="1:12" s="10" customFormat="1" ht="18" x14ac:dyDescent="0.25">
      <c r="A769" s="11">
        <v>765</v>
      </c>
      <c r="B769" s="12" t="s">
        <v>525</v>
      </c>
      <c r="C769" s="12" t="str">
        <f t="shared" si="32"/>
        <v>140502</v>
      </c>
      <c r="D769" s="12" t="str">
        <f>"14.140502/2024.01494/BC.I."</f>
        <v>14.140502/2024.01494/BC.I.</v>
      </c>
      <c r="E769" s="12" t="str">
        <f>"200580086048"</f>
        <v>200580086048</v>
      </c>
      <c r="F769" s="12" t="str">
        <f t="shared" si="33"/>
        <v>COMPUTADORA/MICROCOMPUTADORA</v>
      </c>
      <c r="G769" s="12" t="s">
        <v>19</v>
      </c>
      <c r="H769" s="12" t="s">
        <v>20</v>
      </c>
      <c r="I769" s="16">
        <v>1</v>
      </c>
      <c r="J769" s="12" t="s">
        <v>21</v>
      </c>
      <c r="K769" s="12" t="s">
        <v>22</v>
      </c>
      <c r="L769" s="13">
        <v>35</v>
      </c>
    </row>
    <row r="770" spans="1:12" s="10" customFormat="1" ht="18" x14ac:dyDescent="0.25">
      <c r="A770" s="11">
        <v>766</v>
      </c>
      <c r="B770" s="12" t="s">
        <v>525</v>
      </c>
      <c r="C770" s="12" t="str">
        <f t="shared" si="32"/>
        <v>140502</v>
      </c>
      <c r="D770" s="12" t="str">
        <f>"14.140502/2024.01495/BC.I."</f>
        <v>14.140502/2024.01495/BC.I.</v>
      </c>
      <c r="E770" s="12" t="str">
        <f>"200580086060"</f>
        <v>200580086060</v>
      </c>
      <c r="F770" s="12" t="str">
        <f t="shared" si="33"/>
        <v>COMPUTADORA/MICROCOMPUTADORA</v>
      </c>
      <c r="G770" s="12" t="s">
        <v>19</v>
      </c>
      <c r="H770" s="12" t="s">
        <v>20</v>
      </c>
      <c r="I770" s="16">
        <v>1</v>
      </c>
      <c r="J770" s="12" t="s">
        <v>21</v>
      </c>
      <c r="K770" s="12" t="s">
        <v>22</v>
      </c>
      <c r="L770" s="13">
        <v>35</v>
      </c>
    </row>
    <row r="771" spans="1:12" s="10" customFormat="1" ht="18" x14ac:dyDescent="0.25">
      <c r="A771" s="11">
        <v>767</v>
      </c>
      <c r="B771" s="12" t="s">
        <v>525</v>
      </c>
      <c r="C771" s="12" t="str">
        <f t="shared" si="32"/>
        <v>140502</v>
      </c>
      <c r="D771" s="12" t="str">
        <f>"14.140502/2024.01477/BC.I."</f>
        <v>14.140502/2024.01477/BC.I.</v>
      </c>
      <c r="E771" s="12" t="str">
        <f>"200580086070"</f>
        <v>200580086070</v>
      </c>
      <c r="F771" s="12" t="str">
        <f t="shared" si="33"/>
        <v>COMPUTADORA/MICROCOMPUTADORA</v>
      </c>
      <c r="G771" s="12" t="s">
        <v>19</v>
      </c>
      <c r="H771" s="12" t="s">
        <v>20</v>
      </c>
      <c r="I771" s="16">
        <v>1</v>
      </c>
      <c r="J771" s="12" t="s">
        <v>21</v>
      </c>
      <c r="K771" s="12" t="s">
        <v>22</v>
      </c>
      <c r="L771" s="13">
        <v>35</v>
      </c>
    </row>
    <row r="772" spans="1:12" s="10" customFormat="1" ht="18" x14ac:dyDescent="0.25">
      <c r="A772" s="11">
        <v>768</v>
      </c>
      <c r="B772" s="12" t="s">
        <v>525</v>
      </c>
      <c r="C772" s="12" t="str">
        <f t="shared" si="32"/>
        <v>140502</v>
      </c>
      <c r="D772" s="12" t="str">
        <f>"14.140502/2024.01486/BC.I."</f>
        <v>14.140502/2024.01486/BC.I.</v>
      </c>
      <c r="E772" s="12" t="str">
        <f>"200580086090"</f>
        <v>200580086090</v>
      </c>
      <c r="F772" s="12" t="str">
        <f t="shared" si="33"/>
        <v>COMPUTADORA/MICROCOMPUTADORA</v>
      </c>
      <c r="G772" s="12" t="s">
        <v>19</v>
      </c>
      <c r="H772" s="12" t="s">
        <v>20</v>
      </c>
      <c r="I772" s="16">
        <v>1</v>
      </c>
      <c r="J772" s="12" t="s">
        <v>21</v>
      </c>
      <c r="K772" s="12" t="s">
        <v>22</v>
      </c>
      <c r="L772" s="13">
        <v>35</v>
      </c>
    </row>
    <row r="773" spans="1:12" s="10" customFormat="1" ht="18" x14ac:dyDescent="0.25">
      <c r="A773" s="11">
        <v>769</v>
      </c>
      <c r="B773" s="12" t="s">
        <v>525</v>
      </c>
      <c r="C773" s="12" t="str">
        <f t="shared" si="32"/>
        <v>140502</v>
      </c>
      <c r="D773" s="12" t="str">
        <f>"14.140502/2024.01478/BC.I."</f>
        <v>14.140502/2024.01478/BC.I.</v>
      </c>
      <c r="E773" s="12" t="str">
        <f>"200580086100"</f>
        <v>200580086100</v>
      </c>
      <c r="F773" s="12" t="str">
        <f t="shared" si="33"/>
        <v>COMPUTADORA/MICROCOMPUTADORA</v>
      </c>
      <c r="G773" s="12" t="s">
        <v>19</v>
      </c>
      <c r="H773" s="12" t="s">
        <v>20</v>
      </c>
      <c r="I773" s="16">
        <v>1</v>
      </c>
      <c r="J773" s="12" t="s">
        <v>21</v>
      </c>
      <c r="K773" s="12" t="s">
        <v>22</v>
      </c>
      <c r="L773" s="13">
        <v>35</v>
      </c>
    </row>
    <row r="774" spans="1:12" s="10" customFormat="1" ht="18" x14ac:dyDescent="0.25">
      <c r="A774" s="11">
        <v>770</v>
      </c>
      <c r="B774" s="12" t="s">
        <v>525</v>
      </c>
      <c r="C774" s="12" t="str">
        <f t="shared" si="32"/>
        <v>140502</v>
      </c>
      <c r="D774" s="12" t="str">
        <f>"14.140502/2024.01480/BC.I."</f>
        <v>14.140502/2024.01480/BC.I.</v>
      </c>
      <c r="E774" s="12" t="str">
        <f>"200580086101"</f>
        <v>200580086101</v>
      </c>
      <c r="F774" s="12" t="str">
        <f t="shared" si="33"/>
        <v>COMPUTADORA/MICROCOMPUTADORA</v>
      </c>
      <c r="G774" s="12" t="s">
        <v>19</v>
      </c>
      <c r="H774" s="12" t="s">
        <v>20</v>
      </c>
      <c r="I774" s="16">
        <v>1</v>
      </c>
      <c r="J774" s="12" t="s">
        <v>21</v>
      </c>
      <c r="K774" s="12" t="s">
        <v>22</v>
      </c>
      <c r="L774" s="13">
        <v>35</v>
      </c>
    </row>
    <row r="775" spans="1:12" s="10" customFormat="1" ht="18" x14ac:dyDescent="0.25">
      <c r="A775" s="11">
        <v>771</v>
      </c>
      <c r="B775" s="12" t="s">
        <v>525</v>
      </c>
      <c r="C775" s="12" t="str">
        <f t="shared" si="32"/>
        <v>140502</v>
      </c>
      <c r="D775" s="12" t="str">
        <f>"14.140502/2024.01472/BC.I."</f>
        <v>14.140502/2024.01472/BC.I.</v>
      </c>
      <c r="E775" s="12" t="str">
        <f>"200580086110"</f>
        <v>200580086110</v>
      </c>
      <c r="F775" s="12" t="str">
        <f t="shared" si="33"/>
        <v>COMPUTADORA/MICROCOMPUTADORA</v>
      </c>
      <c r="G775" s="12" t="s">
        <v>19</v>
      </c>
      <c r="H775" s="12" t="s">
        <v>20</v>
      </c>
      <c r="I775" s="16">
        <v>1</v>
      </c>
      <c r="J775" s="12" t="s">
        <v>21</v>
      </c>
      <c r="K775" s="12" t="s">
        <v>22</v>
      </c>
      <c r="L775" s="13">
        <v>35</v>
      </c>
    </row>
    <row r="776" spans="1:12" s="10" customFormat="1" ht="18" x14ac:dyDescent="0.25">
      <c r="A776" s="11">
        <v>772</v>
      </c>
      <c r="B776" s="12" t="s">
        <v>525</v>
      </c>
      <c r="C776" s="12" t="str">
        <f t="shared" si="32"/>
        <v>140502</v>
      </c>
      <c r="D776" s="12" t="str">
        <f>"14.140502/2024.01493/BC.I."</f>
        <v>14.140502/2024.01493/BC.I.</v>
      </c>
      <c r="E776" s="12" t="str">
        <f>"200580086222"</f>
        <v>200580086222</v>
      </c>
      <c r="F776" s="12" t="str">
        <f t="shared" si="33"/>
        <v>COMPUTADORA/MICROCOMPUTADORA</v>
      </c>
      <c r="G776" s="12" t="s">
        <v>19</v>
      </c>
      <c r="H776" s="12" t="s">
        <v>20</v>
      </c>
      <c r="I776" s="16">
        <v>1</v>
      </c>
      <c r="J776" s="12" t="s">
        <v>21</v>
      </c>
      <c r="K776" s="12" t="s">
        <v>22</v>
      </c>
      <c r="L776" s="13">
        <v>35</v>
      </c>
    </row>
    <row r="777" spans="1:12" s="10" customFormat="1" ht="18" x14ac:dyDescent="0.25">
      <c r="A777" s="11">
        <v>773</v>
      </c>
      <c r="B777" s="12" t="s">
        <v>525</v>
      </c>
      <c r="C777" s="12" t="str">
        <f t="shared" si="32"/>
        <v>140502</v>
      </c>
      <c r="D777" s="12" t="str">
        <f>"14.140502/2024.01447/BC.I."</f>
        <v>14.140502/2024.01447/BC.I.</v>
      </c>
      <c r="E777" s="12" t="str">
        <f>"200580086397"</f>
        <v>200580086397</v>
      </c>
      <c r="F777" s="12" t="str">
        <f t="shared" si="33"/>
        <v>COMPUTADORA/MICROCOMPUTADORA</v>
      </c>
      <c r="G777" s="12" t="s">
        <v>19</v>
      </c>
      <c r="H777" s="12" t="s">
        <v>20</v>
      </c>
      <c r="I777" s="16">
        <v>1</v>
      </c>
      <c r="J777" s="12" t="s">
        <v>21</v>
      </c>
      <c r="K777" s="12" t="s">
        <v>22</v>
      </c>
      <c r="L777" s="13">
        <v>35</v>
      </c>
    </row>
    <row r="778" spans="1:12" s="10" customFormat="1" ht="18" x14ac:dyDescent="0.25">
      <c r="A778" s="11">
        <v>774</v>
      </c>
      <c r="B778" s="12" t="s">
        <v>525</v>
      </c>
      <c r="C778" s="12" t="str">
        <f t="shared" si="32"/>
        <v>140502</v>
      </c>
      <c r="D778" s="12" t="str">
        <f>"14.140502/2024.01468/BC.I."</f>
        <v>14.140502/2024.01468/BC.I.</v>
      </c>
      <c r="E778" s="12" t="str">
        <f>"200580086430"</f>
        <v>200580086430</v>
      </c>
      <c r="F778" s="12" t="str">
        <f t="shared" si="33"/>
        <v>COMPUTADORA/MICROCOMPUTADORA</v>
      </c>
      <c r="G778" s="12" t="s">
        <v>19</v>
      </c>
      <c r="H778" s="12" t="s">
        <v>20</v>
      </c>
      <c r="I778" s="16">
        <v>1</v>
      </c>
      <c r="J778" s="12" t="s">
        <v>21</v>
      </c>
      <c r="K778" s="12" t="s">
        <v>22</v>
      </c>
      <c r="L778" s="13">
        <v>35</v>
      </c>
    </row>
    <row r="779" spans="1:12" s="10" customFormat="1" ht="18" x14ac:dyDescent="0.25">
      <c r="A779" s="11">
        <v>775</v>
      </c>
      <c r="B779" s="12" t="s">
        <v>525</v>
      </c>
      <c r="C779" s="12" t="str">
        <f t="shared" si="32"/>
        <v>140502</v>
      </c>
      <c r="D779" s="12" t="str">
        <f>"14.140502/2024.01471/BC.I."</f>
        <v>14.140502/2024.01471/BC.I.</v>
      </c>
      <c r="E779" s="12" t="str">
        <f>"200580086432"</f>
        <v>200580086432</v>
      </c>
      <c r="F779" s="12" t="str">
        <f t="shared" si="33"/>
        <v>COMPUTADORA/MICROCOMPUTADORA</v>
      </c>
      <c r="G779" s="12" t="s">
        <v>19</v>
      </c>
      <c r="H779" s="12" t="s">
        <v>20</v>
      </c>
      <c r="I779" s="16">
        <v>1</v>
      </c>
      <c r="J779" s="12" t="s">
        <v>21</v>
      </c>
      <c r="K779" s="12" t="s">
        <v>22</v>
      </c>
      <c r="L779" s="13">
        <v>35</v>
      </c>
    </row>
    <row r="780" spans="1:12" s="10" customFormat="1" ht="18" x14ac:dyDescent="0.25">
      <c r="A780" s="11">
        <v>776</v>
      </c>
      <c r="B780" s="12" t="s">
        <v>525</v>
      </c>
      <c r="C780" s="12" t="str">
        <f t="shared" si="32"/>
        <v>140502</v>
      </c>
      <c r="D780" s="12" t="str">
        <f>"14.140502/2024.01466/BC.I."</f>
        <v>14.140502/2024.01466/BC.I.</v>
      </c>
      <c r="E780" s="12" t="str">
        <f>"200580086434"</f>
        <v>200580086434</v>
      </c>
      <c r="F780" s="12" t="str">
        <f t="shared" si="33"/>
        <v>COMPUTADORA/MICROCOMPUTADORA</v>
      </c>
      <c r="G780" s="12" t="s">
        <v>19</v>
      </c>
      <c r="H780" s="12" t="s">
        <v>20</v>
      </c>
      <c r="I780" s="16">
        <v>1</v>
      </c>
      <c r="J780" s="12" t="s">
        <v>21</v>
      </c>
      <c r="K780" s="12" t="s">
        <v>22</v>
      </c>
      <c r="L780" s="13">
        <v>35</v>
      </c>
    </row>
    <row r="781" spans="1:12" s="10" customFormat="1" ht="18" x14ac:dyDescent="0.25">
      <c r="A781" s="11">
        <v>777</v>
      </c>
      <c r="B781" s="12" t="s">
        <v>525</v>
      </c>
      <c r="C781" s="12" t="str">
        <f t="shared" si="32"/>
        <v>140502</v>
      </c>
      <c r="D781" s="12" t="str">
        <f>"14.140502/2024.01500/BC.I."</f>
        <v>14.140502/2024.01500/BC.I.</v>
      </c>
      <c r="E781" s="12" t="str">
        <f>"200580086444"</f>
        <v>200580086444</v>
      </c>
      <c r="F781" s="12" t="str">
        <f t="shared" si="33"/>
        <v>COMPUTADORA/MICROCOMPUTADORA</v>
      </c>
      <c r="G781" s="12" t="s">
        <v>19</v>
      </c>
      <c r="H781" s="12" t="s">
        <v>20</v>
      </c>
      <c r="I781" s="16">
        <v>1</v>
      </c>
      <c r="J781" s="12" t="s">
        <v>21</v>
      </c>
      <c r="K781" s="12" t="s">
        <v>22</v>
      </c>
      <c r="L781" s="13">
        <v>35</v>
      </c>
    </row>
    <row r="782" spans="1:12" s="10" customFormat="1" ht="18" x14ac:dyDescent="0.25">
      <c r="A782" s="11">
        <v>778</v>
      </c>
      <c r="B782" s="12" t="s">
        <v>525</v>
      </c>
      <c r="C782" s="12" t="str">
        <f t="shared" si="32"/>
        <v>140502</v>
      </c>
      <c r="D782" s="12" t="str">
        <f>"14.140502/2024.01465/BC.I."</f>
        <v>14.140502/2024.01465/BC.I.</v>
      </c>
      <c r="E782" s="12" t="str">
        <f>"200580086471"</f>
        <v>200580086471</v>
      </c>
      <c r="F782" s="12" t="str">
        <f t="shared" si="33"/>
        <v>COMPUTADORA/MICROCOMPUTADORA</v>
      </c>
      <c r="G782" s="12" t="s">
        <v>19</v>
      </c>
      <c r="H782" s="12" t="s">
        <v>20</v>
      </c>
      <c r="I782" s="16">
        <v>1</v>
      </c>
      <c r="J782" s="12" t="s">
        <v>21</v>
      </c>
      <c r="K782" s="12" t="s">
        <v>22</v>
      </c>
      <c r="L782" s="13">
        <v>35</v>
      </c>
    </row>
    <row r="783" spans="1:12" s="10" customFormat="1" ht="18" x14ac:dyDescent="0.25">
      <c r="A783" s="11">
        <v>779</v>
      </c>
      <c r="B783" s="12" t="s">
        <v>525</v>
      </c>
      <c r="C783" s="12" t="str">
        <f t="shared" si="32"/>
        <v>140502</v>
      </c>
      <c r="D783" s="12" t="str">
        <f>"14.140502/2024.01517/BC.I."</f>
        <v>14.140502/2024.01517/BC.I.</v>
      </c>
      <c r="E783" s="12" t="str">
        <f>"200680001065"</f>
        <v>200680001065</v>
      </c>
      <c r="F783" s="12" t="str">
        <f t="shared" si="33"/>
        <v>COMPUTADORA/MICROCOMPUTADORA</v>
      </c>
      <c r="G783" s="12" t="s">
        <v>19</v>
      </c>
      <c r="H783" s="12" t="s">
        <v>20</v>
      </c>
      <c r="I783" s="16">
        <v>1</v>
      </c>
      <c r="J783" s="12" t="s">
        <v>21</v>
      </c>
      <c r="K783" s="12" t="s">
        <v>22</v>
      </c>
      <c r="L783" s="13">
        <v>35</v>
      </c>
    </row>
    <row r="784" spans="1:12" s="10" customFormat="1" ht="18" x14ac:dyDescent="0.25">
      <c r="A784" s="11">
        <v>780</v>
      </c>
      <c r="B784" s="12" t="s">
        <v>525</v>
      </c>
      <c r="C784" s="12" t="str">
        <f t="shared" si="32"/>
        <v>140502</v>
      </c>
      <c r="D784" s="12" t="str">
        <f>"14.140502/2024.01374/BC.I."</f>
        <v>14.140502/2024.01374/BC.I.</v>
      </c>
      <c r="E784" s="12" t="str">
        <f>"200680002588"</f>
        <v>200680002588</v>
      </c>
      <c r="F784" s="12" t="str">
        <f t="shared" si="33"/>
        <v>COMPUTADORA/MICROCOMPUTADORA</v>
      </c>
      <c r="G784" s="12" t="s">
        <v>19</v>
      </c>
      <c r="H784" s="12" t="s">
        <v>20</v>
      </c>
      <c r="I784" s="16">
        <v>1</v>
      </c>
      <c r="J784" s="12" t="s">
        <v>21</v>
      </c>
      <c r="K784" s="12" t="s">
        <v>22</v>
      </c>
      <c r="L784" s="13">
        <v>35</v>
      </c>
    </row>
    <row r="785" spans="1:12" s="10" customFormat="1" ht="18" x14ac:dyDescent="0.25">
      <c r="A785" s="11">
        <v>781</v>
      </c>
      <c r="B785" s="12" t="s">
        <v>525</v>
      </c>
      <c r="C785" s="12" t="str">
        <f t="shared" si="32"/>
        <v>140502</v>
      </c>
      <c r="D785" s="12" t="str">
        <f>"14.140502/2024.01469/BC.I."</f>
        <v>14.140502/2024.01469/BC.I.</v>
      </c>
      <c r="E785" s="12" t="str">
        <f>"200680002591"</f>
        <v>200680002591</v>
      </c>
      <c r="F785" s="12" t="str">
        <f t="shared" si="33"/>
        <v>COMPUTADORA/MICROCOMPUTADORA</v>
      </c>
      <c r="G785" s="12" t="s">
        <v>19</v>
      </c>
      <c r="H785" s="12" t="s">
        <v>20</v>
      </c>
      <c r="I785" s="16">
        <v>1</v>
      </c>
      <c r="J785" s="12" t="s">
        <v>21</v>
      </c>
      <c r="K785" s="12" t="s">
        <v>22</v>
      </c>
      <c r="L785" s="13">
        <v>35</v>
      </c>
    </row>
    <row r="786" spans="1:12" s="10" customFormat="1" ht="18" x14ac:dyDescent="0.25">
      <c r="A786" s="11">
        <v>782</v>
      </c>
      <c r="B786" s="12" t="s">
        <v>525</v>
      </c>
      <c r="C786" s="12" t="str">
        <f t="shared" si="32"/>
        <v>140502</v>
      </c>
      <c r="D786" s="12" t="str">
        <f>"14.140502/2024.01413/BC.I."</f>
        <v>14.140502/2024.01413/BC.I.</v>
      </c>
      <c r="E786" s="12" t="str">
        <f>"200880008101"</f>
        <v>200880008101</v>
      </c>
      <c r="F786" s="12" t="str">
        <f t="shared" si="33"/>
        <v>COMPUTADORA/MICROCOMPUTADORA</v>
      </c>
      <c r="G786" s="12" t="s">
        <v>19</v>
      </c>
      <c r="H786" s="12" t="s">
        <v>20</v>
      </c>
      <c r="I786" s="16">
        <v>1</v>
      </c>
      <c r="J786" s="12" t="s">
        <v>21</v>
      </c>
      <c r="K786" s="12" t="s">
        <v>22</v>
      </c>
      <c r="L786" s="13">
        <v>35</v>
      </c>
    </row>
    <row r="787" spans="1:12" s="10" customFormat="1" ht="18" x14ac:dyDescent="0.25">
      <c r="A787" s="11">
        <v>783</v>
      </c>
      <c r="B787" s="12" t="s">
        <v>525</v>
      </c>
      <c r="C787" s="12" t="str">
        <f t="shared" si="32"/>
        <v>140502</v>
      </c>
      <c r="D787" s="12" t="str">
        <f>"14.140502/2024.01419/BC.I."</f>
        <v>14.140502/2024.01419/BC.I.</v>
      </c>
      <c r="E787" s="12" t="str">
        <f>"200880020652"</f>
        <v>200880020652</v>
      </c>
      <c r="F787" s="12" t="str">
        <f t="shared" si="33"/>
        <v>COMPUTADORA/MICROCOMPUTADORA</v>
      </c>
      <c r="G787" s="12" t="s">
        <v>19</v>
      </c>
      <c r="H787" s="12" t="s">
        <v>20</v>
      </c>
      <c r="I787" s="16">
        <v>1</v>
      </c>
      <c r="J787" s="12" t="s">
        <v>21</v>
      </c>
      <c r="K787" s="12" t="s">
        <v>22</v>
      </c>
      <c r="L787" s="13">
        <v>35</v>
      </c>
    </row>
    <row r="788" spans="1:12" s="10" customFormat="1" ht="18" x14ac:dyDescent="0.25">
      <c r="A788" s="11">
        <v>784</v>
      </c>
      <c r="B788" s="12" t="s">
        <v>525</v>
      </c>
      <c r="C788" s="12" t="str">
        <f t="shared" si="32"/>
        <v>140502</v>
      </c>
      <c r="D788" s="12" t="str">
        <f>"14.140502/2024.01385/BC.I."</f>
        <v>14.140502/2024.01385/BC.I.</v>
      </c>
      <c r="E788" s="12" t="str">
        <f>"200880020842"</f>
        <v>200880020842</v>
      </c>
      <c r="F788" s="12" t="str">
        <f t="shared" si="33"/>
        <v>COMPUTADORA/MICROCOMPUTADORA</v>
      </c>
      <c r="G788" s="12" t="s">
        <v>19</v>
      </c>
      <c r="H788" s="12" t="s">
        <v>20</v>
      </c>
      <c r="I788" s="16">
        <v>1</v>
      </c>
      <c r="J788" s="12" t="s">
        <v>21</v>
      </c>
      <c r="K788" s="12" t="s">
        <v>22</v>
      </c>
      <c r="L788" s="13">
        <v>35</v>
      </c>
    </row>
    <row r="789" spans="1:12" s="10" customFormat="1" ht="18" x14ac:dyDescent="0.25">
      <c r="A789" s="11">
        <v>785</v>
      </c>
      <c r="B789" s="12" t="s">
        <v>525</v>
      </c>
      <c r="C789" s="12" t="str">
        <f t="shared" si="32"/>
        <v>140502</v>
      </c>
      <c r="D789" s="12" t="str">
        <f>"14.140502/2024.01389/BC.I."</f>
        <v>14.140502/2024.01389/BC.I.</v>
      </c>
      <c r="E789" s="12" t="str">
        <f>"200880020883"</f>
        <v>200880020883</v>
      </c>
      <c r="F789" s="12" t="str">
        <f t="shared" si="33"/>
        <v>COMPUTADORA/MICROCOMPUTADORA</v>
      </c>
      <c r="G789" s="12" t="s">
        <v>19</v>
      </c>
      <c r="H789" s="12" t="s">
        <v>20</v>
      </c>
      <c r="I789" s="16">
        <v>1</v>
      </c>
      <c r="J789" s="12" t="s">
        <v>21</v>
      </c>
      <c r="K789" s="12" t="s">
        <v>22</v>
      </c>
      <c r="L789" s="13">
        <v>35</v>
      </c>
    </row>
    <row r="790" spans="1:12" s="10" customFormat="1" ht="18" x14ac:dyDescent="0.25">
      <c r="A790" s="11">
        <v>786</v>
      </c>
      <c r="B790" s="12" t="s">
        <v>525</v>
      </c>
      <c r="C790" s="12" t="str">
        <f t="shared" si="32"/>
        <v>140502</v>
      </c>
      <c r="D790" s="12" t="str">
        <f>"14.140502/2024.01441/BC.I."</f>
        <v>14.140502/2024.01441/BC.I.</v>
      </c>
      <c r="E790" s="12" t="str">
        <f>"200880021254"</f>
        <v>200880021254</v>
      </c>
      <c r="F790" s="12" t="str">
        <f t="shared" si="33"/>
        <v>COMPUTADORA/MICROCOMPUTADORA</v>
      </c>
      <c r="G790" s="12" t="s">
        <v>19</v>
      </c>
      <c r="H790" s="12" t="s">
        <v>20</v>
      </c>
      <c r="I790" s="16">
        <v>1</v>
      </c>
      <c r="J790" s="12" t="s">
        <v>21</v>
      </c>
      <c r="K790" s="12" t="s">
        <v>22</v>
      </c>
      <c r="L790" s="13">
        <v>35</v>
      </c>
    </row>
    <row r="791" spans="1:12" s="10" customFormat="1" ht="18" x14ac:dyDescent="0.25">
      <c r="A791" s="11">
        <v>787</v>
      </c>
      <c r="B791" s="12" t="s">
        <v>525</v>
      </c>
      <c r="C791" s="12" t="str">
        <f t="shared" si="32"/>
        <v>140502</v>
      </c>
      <c r="D791" s="12" t="str">
        <f>"14.140502/2024.01516/BC.I."</f>
        <v>14.140502/2024.01516/BC.I.</v>
      </c>
      <c r="E791" s="12" t="str">
        <f>"200880021265"</f>
        <v>200880021265</v>
      </c>
      <c r="F791" s="12" t="str">
        <f t="shared" si="33"/>
        <v>COMPUTADORA/MICROCOMPUTADORA</v>
      </c>
      <c r="G791" s="12" t="s">
        <v>19</v>
      </c>
      <c r="H791" s="12" t="s">
        <v>20</v>
      </c>
      <c r="I791" s="16">
        <v>1</v>
      </c>
      <c r="J791" s="12" t="s">
        <v>21</v>
      </c>
      <c r="K791" s="12" t="s">
        <v>22</v>
      </c>
      <c r="L791" s="13">
        <v>35</v>
      </c>
    </row>
    <row r="792" spans="1:12" s="10" customFormat="1" ht="18" x14ac:dyDescent="0.25">
      <c r="A792" s="11">
        <v>788</v>
      </c>
      <c r="B792" s="12" t="s">
        <v>525</v>
      </c>
      <c r="C792" s="12" t="str">
        <f t="shared" si="32"/>
        <v>140502</v>
      </c>
      <c r="D792" s="12" t="str">
        <f>"14.140502/2024.01448/BC.I."</f>
        <v>14.140502/2024.01448/BC.I.</v>
      </c>
      <c r="E792" s="12" t="str">
        <f>"200880021315"</f>
        <v>200880021315</v>
      </c>
      <c r="F792" s="12" t="str">
        <f t="shared" si="33"/>
        <v>COMPUTADORA/MICROCOMPUTADORA</v>
      </c>
      <c r="G792" s="12" t="s">
        <v>19</v>
      </c>
      <c r="H792" s="12" t="s">
        <v>20</v>
      </c>
      <c r="I792" s="16">
        <v>1</v>
      </c>
      <c r="J792" s="12" t="s">
        <v>21</v>
      </c>
      <c r="K792" s="12" t="s">
        <v>22</v>
      </c>
      <c r="L792" s="13">
        <v>35</v>
      </c>
    </row>
    <row r="793" spans="1:12" s="10" customFormat="1" ht="18" x14ac:dyDescent="0.25">
      <c r="A793" s="11">
        <v>789</v>
      </c>
      <c r="B793" s="12" t="s">
        <v>525</v>
      </c>
      <c r="C793" s="12" t="str">
        <f t="shared" si="32"/>
        <v>140502</v>
      </c>
      <c r="D793" s="12" t="str">
        <f>"14.140502/2024.01514/BC.I."</f>
        <v>14.140502/2024.01514/BC.I.</v>
      </c>
      <c r="E793" s="12" t="str">
        <f>"200880021361"</f>
        <v>200880021361</v>
      </c>
      <c r="F793" s="12" t="str">
        <f t="shared" si="33"/>
        <v>COMPUTADORA/MICROCOMPUTADORA</v>
      </c>
      <c r="G793" s="12" t="s">
        <v>19</v>
      </c>
      <c r="H793" s="12" t="s">
        <v>20</v>
      </c>
      <c r="I793" s="16">
        <v>1</v>
      </c>
      <c r="J793" s="12" t="s">
        <v>21</v>
      </c>
      <c r="K793" s="12" t="s">
        <v>22</v>
      </c>
      <c r="L793" s="13">
        <v>35</v>
      </c>
    </row>
    <row r="794" spans="1:12" s="10" customFormat="1" ht="18" x14ac:dyDescent="0.25">
      <c r="A794" s="11">
        <v>790</v>
      </c>
      <c r="B794" s="12" t="s">
        <v>525</v>
      </c>
      <c r="C794" s="12" t="str">
        <f t="shared" si="32"/>
        <v>140502</v>
      </c>
      <c r="D794" s="12" t="str">
        <f>"14.140502/2024.01479/BC.I."</f>
        <v>14.140502/2024.01479/BC.I.</v>
      </c>
      <c r="E794" s="12" t="str">
        <f>"200880030228"</f>
        <v>200880030228</v>
      </c>
      <c r="F794" s="12" t="str">
        <f t="shared" si="33"/>
        <v>COMPUTADORA/MICROCOMPUTADORA</v>
      </c>
      <c r="G794" s="12" t="s">
        <v>19</v>
      </c>
      <c r="H794" s="12" t="s">
        <v>20</v>
      </c>
      <c r="I794" s="16">
        <v>1</v>
      </c>
      <c r="J794" s="12" t="s">
        <v>21</v>
      </c>
      <c r="K794" s="12" t="s">
        <v>22</v>
      </c>
      <c r="L794" s="13">
        <v>35</v>
      </c>
    </row>
    <row r="795" spans="1:12" s="10" customFormat="1" ht="18" x14ac:dyDescent="0.25">
      <c r="A795" s="11">
        <v>791</v>
      </c>
      <c r="B795" s="12" t="s">
        <v>525</v>
      </c>
      <c r="C795" s="12" t="str">
        <f t="shared" si="32"/>
        <v>140502</v>
      </c>
      <c r="D795" s="12" t="str">
        <f>"14.140502/2024.01489/BC.I."</f>
        <v>14.140502/2024.01489/BC.I.</v>
      </c>
      <c r="E795" s="12" t="str">
        <f>"200880030303"</f>
        <v>200880030303</v>
      </c>
      <c r="F795" s="12" t="str">
        <f t="shared" si="33"/>
        <v>COMPUTADORA/MICROCOMPUTADORA</v>
      </c>
      <c r="G795" s="12" t="s">
        <v>19</v>
      </c>
      <c r="H795" s="12" t="s">
        <v>20</v>
      </c>
      <c r="I795" s="16">
        <v>1</v>
      </c>
      <c r="J795" s="12" t="s">
        <v>21</v>
      </c>
      <c r="K795" s="12" t="s">
        <v>22</v>
      </c>
      <c r="L795" s="13">
        <v>35</v>
      </c>
    </row>
    <row r="796" spans="1:12" s="10" customFormat="1" ht="18" x14ac:dyDescent="0.25">
      <c r="A796" s="11">
        <v>792</v>
      </c>
      <c r="B796" s="12" t="s">
        <v>525</v>
      </c>
      <c r="C796" s="12" t="str">
        <f t="shared" si="32"/>
        <v>140502</v>
      </c>
      <c r="D796" s="12" t="str">
        <f>"14.140502/2024.01490/BC.I."</f>
        <v>14.140502/2024.01490/BC.I.</v>
      </c>
      <c r="E796" s="12" t="str">
        <f>"200880030409"</f>
        <v>200880030409</v>
      </c>
      <c r="F796" s="12" t="str">
        <f t="shared" si="33"/>
        <v>COMPUTADORA/MICROCOMPUTADORA</v>
      </c>
      <c r="G796" s="12" t="s">
        <v>19</v>
      </c>
      <c r="H796" s="12" t="s">
        <v>20</v>
      </c>
      <c r="I796" s="16">
        <v>1</v>
      </c>
      <c r="J796" s="12" t="s">
        <v>21</v>
      </c>
      <c r="K796" s="12" t="s">
        <v>22</v>
      </c>
      <c r="L796" s="13">
        <v>35</v>
      </c>
    </row>
    <row r="797" spans="1:12" s="10" customFormat="1" ht="18" x14ac:dyDescent="0.25">
      <c r="A797" s="11">
        <v>793</v>
      </c>
      <c r="B797" s="12" t="s">
        <v>525</v>
      </c>
      <c r="C797" s="12" t="str">
        <f t="shared" si="32"/>
        <v>140502</v>
      </c>
      <c r="D797" s="12" t="str">
        <f>"14.140502/2024.01474/BC.I."</f>
        <v>14.140502/2024.01474/BC.I.</v>
      </c>
      <c r="E797" s="12" t="str">
        <f>"200880030425"</f>
        <v>200880030425</v>
      </c>
      <c r="F797" s="12" t="str">
        <f t="shared" si="33"/>
        <v>COMPUTADORA/MICROCOMPUTADORA</v>
      </c>
      <c r="G797" s="12" t="s">
        <v>19</v>
      </c>
      <c r="H797" s="12" t="s">
        <v>20</v>
      </c>
      <c r="I797" s="16">
        <v>1</v>
      </c>
      <c r="J797" s="12" t="s">
        <v>21</v>
      </c>
      <c r="K797" s="12" t="s">
        <v>22</v>
      </c>
      <c r="L797" s="13">
        <v>35</v>
      </c>
    </row>
    <row r="798" spans="1:12" s="10" customFormat="1" ht="18" x14ac:dyDescent="0.25">
      <c r="A798" s="11">
        <v>794</v>
      </c>
      <c r="B798" s="12" t="s">
        <v>525</v>
      </c>
      <c r="C798" s="12" t="str">
        <f t="shared" si="32"/>
        <v>140502</v>
      </c>
      <c r="D798" s="12" t="str">
        <f>"14.140502/2024.01481/BC.I."</f>
        <v>14.140502/2024.01481/BC.I.</v>
      </c>
      <c r="E798" s="12" t="str">
        <f>"200880030427"</f>
        <v>200880030427</v>
      </c>
      <c r="F798" s="12" t="str">
        <f t="shared" si="33"/>
        <v>COMPUTADORA/MICROCOMPUTADORA</v>
      </c>
      <c r="G798" s="12" t="s">
        <v>19</v>
      </c>
      <c r="H798" s="12" t="s">
        <v>20</v>
      </c>
      <c r="I798" s="16">
        <v>1</v>
      </c>
      <c r="J798" s="12" t="s">
        <v>21</v>
      </c>
      <c r="K798" s="12" t="s">
        <v>22</v>
      </c>
      <c r="L798" s="13">
        <v>35</v>
      </c>
    </row>
    <row r="799" spans="1:12" s="10" customFormat="1" ht="18" x14ac:dyDescent="0.25">
      <c r="A799" s="11">
        <v>795</v>
      </c>
      <c r="B799" s="12" t="s">
        <v>525</v>
      </c>
      <c r="C799" s="12" t="str">
        <f t="shared" si="32"/>
        <v>140502</v>
      </c>
      <c r="D799" s="12" t="str">
        <f>"14.140502/2024.01476/BC.I."</f>
        <v>14.140502/2024.01476/BC.I.</v>
      </c>
      <c r="E799" s="12" t="str">
        <f>"200880030458"</f>
        <v>200880030458</v>
      </c>
      <c r="F799" s="12" t="str">
        <f t="shared" si="33"/>
        <v>COMPUTADORA/MICROCOMPUTADORA</v>
      </c>
      <c r="G799" s="12" t="s">
        <v>19</v>
      </c>
      <c r="H799" s="12" t="s">
        <v>20</v>
      </c>
      <c r="I799" s="16">
        <v>1</v>
      </c>
      <c r="J799" s="12" t="s">
        <v>21</v>
      </c>
      <c r="K799" s="12" t="s">
        <v>22</v>
      </c>
      <c r="L799" s="13">
        <v>35</v>
      </c>
    </row>
    <row r="800" spans="1:12" s="10" customFormat="1" ht="18" x14ac:dyDescent="0.25">
      <c r="A800" s="11">
        <v>796</v>
      </c>
      <c r="B800" s="12" t="s">
        <v>525</v>
      </c>
      <c r="C800" s="12" t="str">
        <f t="shared" si="32"/>
        <v>140502</v>
      </c>
      <c r="D800" s="12" t="str">
        <f>"14.140502/2024.01497/BC.I."</f>
        <v>14.140502/2024.01497/BC.I.</v>
      </c>
      <c r="E800" s="12" t="str">
        <f>"200880050752"</f>
        <v>200880050752</v>
      </c>
      <c r="F800" s="12" t="str">
        <f t="shared" si="33"/>
        <v>COMPUTADORA/MICROCOMPUTADORA</v>
      </c>
      <c r="G800" s="12" t="s">
        <v>19</v>
      </c>
      <c r="H800" s="12" t="s">
        <v>20</v>
      </c>
      <c r="I800" s="16">
        <v>1</v>
      </c>
      <c r="J800" s="12" t="s">
        <v>21</v>
      </c>
      <c r="K800" s="12" t="s">
        <v>22</v>
      </c>
      <c r="L800" s="13">
        <v>35</v>
      </c>
    </row>
    <row r="801" spans="1:12" s="10" customFormat="1" ht="18" x14ac:dyDescent="0.25">
      <c r="A801" s="11">
        <v>797</v>
      </c>
      <c r="B801" s="12" t="s">
        <v>525</v>
      </c>
      <c r="C801" s="12" t="str">
        <f t="shared" si="32"/>
        <v>140502</v>
      </c>
      <c r="D801" s="12" t="str">
        <f>"14.140502/2024.01444/BC.I."</f>
        <v>14.140502/2024.01444/BC.I.</v>
      </c>
      <c r="E801" s="12" t="str">
        <f>"200880050766"</f>
        <v>200880050766</v>
      </c>
      <c r="F801" s="12" t="str">
        <f t="shared" si="33"/>
        <v>COMPUTADORA/MICROCOMPUTADORA</v>
      </c>
      <c r="G801" s="12" t="s">
        <v>19</v>
      </c>
      <c r="H801" s="12" t="s">
        <v>20</v>
      </c>
      <c r="I801" s="16">
        <v>1</v>
      </c>
      <c r="J801" s="12" t="s">
        <v>21</v>
      </c>
      <c r="K801" s="12" t="s">
        <v>22</v>
      </c>
      <c r="L801" s="13">
        <v>35</v>
      </c>
    </row>
    <row r="802" spans="1:12" s="10" customFormat="1" ht="18" x14ac:dyDescent="0.25">
      <c r="A802" s="11">
        <v>798</v>
      </c>
      <c r="B802" s="12" t="s">
        <v>525</v>
      </c>
      <c r="C802" s="12" t="str">
        <f t="shared" si="32"/>
        <v>140502</v>
      </c>
      <c r="D802" s="12" t="str">
        <f>"14.140502/2024.01445/BC.I."</f>
        <v>14.140502/2024.01445/BC.I.</v>
      </c>
      <c r="E802" s="12" t="str">
        <f>"200880050833"</f>
        <v>200880050833</v>
      </c>
      <c r="F802" s="12" t="str">
        <f t="shared" si="33"/>
        <v>COMPUTADORA/MICROCOMPUTADORA</v>
      </c>
      <c r="G802" s="12" t="s">
        <v>19</v>
      </c>
      <c r="H802" s="12" t="s">
        <v>20</v>
      </c>
      <c r="I802" s="16">
        <v>1</v>
      </c>
      <c r="J802" s="12" t="s">
        <v>21</v>
      </c>
      <c r="K802" s="12" t="s">
        <v>22</v>
      </c>
      <c r="L802" s="13">
        <v>35</v>
      </c>
    </row>
    <row r="803" spans="1:12" s="10" customFormat="1" ht="18" x14ac:dyDescent="0.25">
      <c r="A803" s="11">
        <v>799</v>
      </c>
      <c r="B803" s="12" t="s">
        <v>525</v>
      </c>
      <c r="C803" s="12" t="str">
        <f t="shared" si="32"/>
        <v>140502</v>
      </c>
      <c r="D803" s="12" t="str">
        <f>"14.140502/2024.01467/BC.I."</f>
        <v>14.140502/2024.01467/BC.I.</v>
      </c>
      <c r="E803" s="12" t="str">
        <f>"200880051281"</f>
        <v>200880051281</v>
      </c>
      <c r="F803" s="12" t="str">
        <f t="shared" si="33"/>
        <v>COMPUTADORA/MICROCOMPUTADORA</v>
      </c>
      <c r="G803" s="12" t="s">
        <v>19</v>
      </c>
      <c r="H803" s="12" t="s">
        <v>20</v>
      </c>
      <c r="I803" s="16">
        <v>1</v>
      </c>
      <c r="J803" s="12" t="s">
        <v>21</v>
      </c>
      <c r="K803" s="12" t="s">
        <v>22</v>
      </c>
      <c r="L803" s="13">
        <v>35</v>
      </c>
    </row>
    <row r="804" spans="1:12" s="10" customFormat="1" ht="18" x14ac:dyDescent="0.25">
      <c r="A804" s="11">
        <v>800</v>
      </c>
      <c r="B804" s="12" t="s">
        <v>525</v>
      </c>
      <c r="C804" s="12" t="str">
        <f t="shared" si="32"/>
        <v>140502</v>
      </c>
      <c r="D804" s="12" t="str">
        <f>"14.140502/2024.01446/BC.I."</f>
        <v>14.140502/2024.01446/BC.I.</v>
      </c>
      <c r="E804" s="12" t="str">
        <f>"200880051483"</f>
        <v>200880051483</v>
      </c>
      <c r="F804" s="12" t="str">
        <f t="shared" si="33"/>
        <v>COMPUTADORA/MICROCOMPUTADORA</v>
      </c>
      <c r="G804" s="12" t="s">
        <v>19</v>
      </c>
      <c r="H804" s="12" t="s">
        <v>20</v>
      </c>
      <c r="I804" s="16">
        <v>1</v>
      </c>
      <c r="J804" s="12" t="s">
        <v>21</v>
      </c>
      <c r="K804" s="12" t="s">
        <v>22</v>
      </c>
      <c r="L804" s="13">
        <v>35</v>
      </c>
    </row>
    <row r="805" spans="1:12" s="10" customFormat="1" ht="18" x14ac:dyDescent="0.25">
      <c r="A805" s="11">
        <v>801</v>
      </c>
      <c r="B805" s="12" t="s">
        <v>525</v>
      </c>
      <c r="C805" s="12" t="str">
        <f t="shared" si="32"/>
        <v>140502</v>
      </c>
      <c r="D805" s="12" t="str">
        <f>"14.140502/2024.01438/BC.I."</f>
        <v>14.140502/2024.01438/BC.I.</v>
      </c>
      <c r="E805" s="12" t="str">
        <f>"200880051861"</f>
        <v>200880051861</v>
      </c>
      <c r="F805" s="12" t="str">
        <f t="shared" si="33"/>
        <v>COMPUTADORA/MICROCOMPUTADORA</v>
      </c>
      <c r="G805" s="12" t="s">
        <v>19</v>
      </c>
      <c r="H805" s="12" t="s">
        <v>20</v>
      </c>
      <c r="I805" s="16">
        <v>1</v>
      </c>
      <c r="J805" s="12" t="s">
        <v>21</v>
      </c>
      <c r="K805" s="12" t="s">
        <v>22</v>
      </c>
      <c r="L805" s="13">
        <v>35</v>
      </c>
    </row>
    <row r="806" spans="1:12" s="10" customFormat="1" ht="18" x14ac:dyDescent="0.25">
      <c r="A806" s="11">
        <v>802</v>
      </c>
      <c r="B806" s="12" t="s">
        <v>525</v>
      </c>
      <c r="C806" s="12" t="str">
        <f t="shared" si="32"/>
        <v>140502</v>
      </c>
      <c r="D806" s="12" t="str">
        <f>"14.140502/2024.01482/BC.I."</f>
        <v>14.140502/2024.01482/BC.I.</v>
      </c>
      <c r="E806" s="12" t="str">
        <f>"200880051867"</f>
        <v>200880051867</v>
      </c>
      <c r="F806" s="12" t="str">
        <f t="shared" si="33"/>
        <v>COMPUTADORA/MICROCOMPUTADORA</v>
      </c>
      <c r="G806" s="12" t="s">
        <v>19</v>
      </c>
      <c r="H806" s="12" t="s">
        <v>20</v>
      </c>
      <c r="I806" s="16">
        <v>1</v>
      </c>
      <c r="J806" s="12" t="s">
        <v>21</v>
      </c>
      <c r="K806" s="12" t="s">
        <v>22</v>
      </c>
      <c r="L806" s="13">
        <v>35</v>
      </c>
    </row>
    <row r="807" spans="1:12" s="10" customFormat="1" ht="18" x14ac:dyDescent="0.25">
      <c r="A807" s="11">
        <v>803</v>
      </c>
      <c r="B807" s="12" t="s">
        <v>525</v>
      </c>
      <c r="C807" s="12" t="str">
        <f t="shared" si="32"/>
        <v>140502</v>
      </c>
      <c r="D807" s="12" t="str">
        <f>"14.140502/2024.01411/BC.I."</f>
        <v>14.140502/2024.01411/BC.I.</v>
      </c>
      <c r="E807" s="12" t="str">
        <f>"200880051927"</f>
        <v>200880051927</v>
      </c>
      <c r="F807" s="12" t="str">
        <f t="shared" si="33"/>
        <v>COMPUTADORA/MICROCOMPUTADORA</v>
      </c>
      <c r="G807" s="12" t="s">
        <v>19</v>
      </c>
      <c r="H807" s="12" t="s">
        <v>20</v>
      </c>
      <c r="I807" s="16">
        <v>1</v>
      </c>
      <c r="J807" s="12" t="s">
        <v>21</v>
      </c>
      <c r="K807" s="12" t="s">
        <v>22</v>
      </c>
      <c r="L807" s="13">
        <v>35</v>
      </c>
    </row>
    <row r="808" spans="1:12" s="10" customFormat="1" ht="18" x14ac:dyDescent="0.25">
      <c r="A808" s="11">
        <v>804</v>
      </c>
      <c r="B808" s="12" t="s">
        <v>525</v>
      </c>
      <c r="C808" s="12" t="str">
        <f t="shared" si="32"/>
        <v>140502</v>
      </c>
      <c r="D808" s="12" t="str">
        <f>"14.140502/2024.01443/BC.I."</f>
        <v>14.140502/2024.01443/BC.I.</v>
      </c>
      <c r="E808" s="12" t="str">
        <f>"200880052028"</f>
        <v>200880052028</v>
      </c>
      <c r="F808" s="12" t="str">
        <f t="shared" si="33"/>
        <v>COMPUTADORA/MICROCOMPUTADORA</v>
      </c>
      <c r="G808" s="12" t="s">
        <v>19</v>
      </c>
      <c r="H808" s="12" t="s">
        <v>20</v>
      </c>
      <c r="I808" s="16">
        <v>1</v>
      </c>
      <c r="J808" s="12" t="s">
        <v>21</v>
      </c>
      <c r="K808" s="12" t="s">
        <v>22</v>
      </c>
      <c r="L808" s="13">
        <v>35</v>
      </c>
    </row>
    <row r="809" spans="1:12" s="10" customFormat="1" ht="18" x14ac:dyDescent="0.25">
      <c r="A809" s="11">
        <v>805</v>
      </c>
      <c r="B809" s="12" t="s">
        <v>525</v>
      </c>
      <c r="C809" s="12" t="str">
        <f t="shared" si="32"/>
        <v>140502</v>
      </c>
      <c r="D809" s="12" t="str">
        <f>"14.140502/2024.01436/BC.I."</f>
        <v>14.140502/2024.01436/BC.I.</v>
      </c>
      <c r="E809" s="12" t="str">
        <f>"201080026310"</f>
        <v>201080026310</v>
      </c>
      <c r="F809" s="12" t="str">
        <f t="shared" si="33"/>
        <v>COMPUTADORA/MICROCOMPUTADORA</v>
      </c>
      <c r="G809" s="12" t="s">
        <v>19</v>
      </c>
      <c r="H809" s="12" t="s">
        <v>20</v>
      </c>
      <c r="I809" s="16">
        <v>1</v>
      </c>
      <c r="J809" s="12" t="s">
        <v>21</v>
      </c>
      <c r="K809" s="12" t="s">
        <v>22</v>
      </c>
      <c r="L809" s="13">
        <v>35</v>
      </c>
    </row>
    <row r="810" spans="1:12" s="10" customFormat="1" ht="18" x14ac:dyDescent="0.25">
      <c r="A810" s="11">
        <v>806</v>
      </c>
      <c r="B810" s="12" t="s">
        <v>525</v>
      </c>
      <c r="C810" s="12" t="str">
        <f t="shared" si="32"/>
        <v>140502</v>
      </c>
      <c r="D810" s="12" t="str">
        <f>"14.140502/2024.01400/BC.I."</f>
        <v>14.140502/2024.01400/BC.I.</v>
      </c>
      <c r="E810" s="12" t="str">
        <f>"201080026313"</f>
        <v>201080026313</v>
      </c>
      <c r="F810" s="12" t="str">
        <f t="shared" si="33"/>
        <v>COMPUTADORA/MICROCOMPUTADORA</v>
      </c>
      <c r="G810" s="12" t="s">
        <v>19</v>
      </c>
      <c r="H810" s="12" t="s">
        <v>20</v>
      </c>
      <c r="I810" s="16">
        <v>1</v>
      </c>
      <c r="J810" s="12" t="s">
        <v>21</v>
      </c>
      <c r="K810" s="12" t="s">
        <v>22</v>
      </c>
      <c r="L810" s="13">
        <v>35</v>
      </c>
    </row>
    <row r="811" spans="1:12" s="10" customFormat="1" ht="18" x14ac:dyDescent="0.25">
      <c r="A811" s="11">
        <v>807</v>
      </c>
      <c r="B811" s="12" t="s">
        <v>525</v>
      </c>
      <c r="C811" s="12" t="str">
        <f t="shared" si="32"/>
        <v>140502</v>
      </c>
      <c r="D811" s="12" t="str">
        <f>"14.140502/2024.01491/BC.I."</f>
        <v>14.140502/2024.01491/BC.I.</v>
      </c>
      <c r="E811" s="12" t="str">
        <f>"201080026314"</f>
        <v>201080026314</v>
      </c>
      <c r="F811" s="12" t="str">
        <f t="shared" si="33"/>
        <v>COMPUTADORA/MICROCOMPUTADORA</v>
      </c>
      <c r="G811" s="12" t="s">
        <v>19</v>
      </c>
      <c r="H811" s="12" t="s">
        <v>20</v>
      </c>
      <c r="I811" s="16">
        <v>1</v>
      </c>
      <c r="J811" s="12" t="s">
        <v>21</v>
      </c>
      <c r="K811" s="12" t="s">
        <v>22</v>
      </c>
      <c r="L811" s="13">
        <v>35</v>
      </c>
    </row>
    <row r="812" spans="1:12" s="10" customFormat="1" ht="18" x14ac:dyDescent="0.25">
      <c r="A812" s="11">
        <v>808</v>
      </c>
      <c r="B812" s="12" t="s">
        <v>525</v>
      </c>
      <c r="C812" s="12" t="str">
        <f t="shared" si="32"/>
        <v>140502</v>
      </c>
      <c r="D812" s="12" t="str">
        <f>"14.140502/2024.01455/BC.I."</f>
        <v>14.140502/2024.01455/BC.I.</v>
      </c>
      <c r="E812" s="12" t="str">
        <f>"201080026323"</f>
        <v>201080026323</v>
      </c>
      <c r="F812" s="12" t="str">
        <f t="shared" si="33"/>
        <v>COMPUTADORA/MICROCOMPUTADORA</v>
      </c>
      <c r="G812" s="12" t="s">
        <v>19</v>
      </c>
      <c r="H812" s="12" t="s">
        <v>20</v>
      </c>
      <c r="I812" s="16">
        <v>1</v>
      </c>
      <c r="J812" s="12" t="s">
        <v>21</v>
      </c>
      <c r="K812" s="12" t="s">
        <v>22</v>
      </c>
      <c r="L812" s="13">
        <v>35</v>
      </c>
    </row>
    <row r="813" spans="1:12" s="10" customFormat="1" ht="18" x14ac:dyDescent="0.25">
      <c r="A813" s="11">
        <v>809</v>
      </c>
      <c r="B813" s="12" t="s">
        <v>525</v>
      </c>
      <c r="C813" s="12" t="str">
        <f t="shared" si="32"/>
        <v>140502</v>
      </c>
      <c r="D813" s="12" t="str">
        <f>"14.140502/2024.01351/BC.I."</f>
        <v>14.140502/2024.01351/BC.I.</v>
      </c>
      <c r="E813" s="12" t="str">
        <f>"201080026334"</f>
        <v>201080026334</v>
      </c>
      <c r="F813" s="12" t="str">
        <f t="shared" si="33"/>
        <v>COMPUTADORA/MICROCOMPUTADORA</v>
      </c>
      <c r="G813" s="12" t="s">
        <v>19</v>
      </c>
      <c r="H813" s="12" t="s">
        <v>20</v>
      </c>
      <c r="I813" s="16">
        <v>1</v>
      </c>
      <c r="J813" s="12" t="s">
        <v>21</v>
      </c>
      <c r="K813" s="12" t="s">
        <v>22</v>
      </c>
      <c r="L813" s="13">
        <v>35</v>
      </c>
    </row>
    <row r="814" spans="1:12" s="10" customFormat="1" ht="18" x14ac:dyDescent="0.25">
      <c r="A814" s="11">
        <v>810</v>
      </c>
      <c r="B814" s="12" t="s">
        <v>525</v>
      </c>
      <c r="C814" s="12" t="str">
        <f t="shared" si="32"/>
        <v>140502</v>
      </c>
      <c r="D814" s="12" t="str">
        <f>"14.140502/2024.01513/BC.I."</f>
        <v>14.140502/2024.01513/BC.I.</v>
      </c>
      <c r="E814" s="12" t="str">
        <f>"201080026341"</f>
        <v>201080026341</v>
      </c>
      <c r="F814" s="12" t="str">
        <f t="shared" si="33"/>
        <v>COMPUTADORA/MICROCOMPUTADORA</v>
      </c>
      <c r="G814" s="12" t="s">
        <v>19</v>
      </c>
      <c r="H814" s="12" t="s">
        <v>20</v>
      </c>
      <c r="I814" s="16">
        <v>1</v>
      </c>
      <c r="J814" s="12" t="s">
        <v>21</v>
      </c>
      <c r="K814" s="12" t="s">
        <v>22</v>
      </c>
      <c r="L814" s="13">
        <v>35</v>
      </c>
    </row>
    <row r="815" spans="1:12" s="10" customFormat="1" ht="18" x14ac:dyDescent="0.25">
      <c r="A815" s="11">
        <v>811</v>
      </c>
      <c r="B815" s="12" t="s">
        <v>525</v>
      </c>
      <c r="C815" s="12" t="str">
        <f t="shared" si="32"/>
        <v>140502</v>
      </c>
      <c r="D815" s="12" t="str">
        <f>"14.140502/2024.01414/BC.I."</f>
        <v>14.140502/2024.01414/BC.I.</v>
      </c>
      <c r="E815" s="12" t="str">
        <f>"201080026345"</f>
        <v>201080026345</v>
      </c>
      <c r="F815" s="12" t="str">
        <f t="shared" si="33"/>
        <v>COMPUTADORA/MICROCOMPUTADORA</v>
      </c>
      <c r="G815" s="12" t="s">
        <v>19</v>
      </c>
      <c r="H815" s="12" t="s">
        <v>20</v>
      </c>
      <c r="I815" s="16">
        <v>1</v>
      </c>
      <c r="J815" s="12" t="s">
        <v>21</v>
      </c>
      <c r="K815" s="12" t="s">
        <v>22</v>
      </c>
      <c r="L815" s="13">
        <v>35</v>
      </c>
    </row>
    <row r="816" spans="1:12" s="10" customFormat="1" ht="18" x14ac:dyDescent="0.25">
      <c r="A816" s="11">
        <v>812</v>
      </c>
      <c r="B816" s="12" t="s">
        <v>525</v>
      </c>
      <c r="C816" s="12" t="str">
        <f t="shared" si="32"/>
        <v>140502</v>
      </c>
      <c r="D816" s="12" t="str">
        <f>"14.140502/2024.01483/BC.I."</f>
        <v>14.140502/2024.01483/BC.I.</v>
      </c>
      <c r="E816" s="12" t="str">
        <f>"201080026353"</f>
        <v>201080026353</v>
      </c>
      <c r="F816" s="12" t="str">
        <f t="shared" si="33"/>
        <v>COMPUTADORA/MICROCOMPUTADORA</v>
      </c>
      <c r="G816" s="12" t="s">
        <v>19</v>
      </c>
      <c r="H816" s="12" t="s">
        <v>20</v>
      </c>
      <c r="I816" s="16">
        <v>1</v>
      </c>
      <c r="J816" s="12" t="s">
        <v>21</v>
      </c>
      <c r="K816" s="12" t="s">
        <v>22</v>
      </c>
      <c r="L816" s="13">
        <v>35</v>
      </c>
    </row>
    <row r="817" spans="1:12" s="10" customFormat="1" ht="18" x14ac:dyDescent="0.25">
      <c r="A817" s="11">
        <v>813</v>
      </c>
      <c r="B817" s="12" t="s">
        <v>525</v>
      </c>
      <c r="C817" s="12" t="str">
        <f t="shared" si="32"/>
        <v>140502</v>
      </c>
      <c r="D817" s="12" t="str">
        <f>"14.140502/2024.01415/BC.I."</f>
        <v>14.140502/2024.01415/BC.I.</v>
      </c>
      <c r="E817" s="12" t="str">
        <f>"201080026390"</f>
        <v>201080026390</v>
      </c>
      <c r="F817" s="12" t="str">
        <f t="shared" si="33"/>
        <v>COMPUTADORA/MICROCOMPUTADORA</v>
      </c>
      <c r="G817" s="12" t="s">
        <v>19</v>
      </c>
      <c r="H817" s="12" t="s">
        <v>20</v>
      </c>
      <c r="I817" s="16">
        <v>1</v>
      </c>
      <c r="J817" s="12" t="s">
        <v>21</v>
      </c>
      <c r="K817" s="12" t="s">
        <v>22</v>
      </c>
      <c r="L817" s="13">
        <v>35</v>
      </c>
    </row>
    <row r="818" spans="1:12" s="10" customFormat="1" ht="18" x14ac:dyDescent="0.25">
      <c r="A818" s="11">
        <v>814</v>
      </c>
      <c r="B818" s="12" t="s">
        <v>525</v>
      </c>
      <c r="C818" s="12" t="str">
        <f t="shared" si="32"/>
        <v>140502</v>
      </c>
      <c r="D818" s="12" t="str">
        <f>"14.140502/2024.01390/BC.I."</f>
        <v>14.140502/2024.01390/BC.I.</v>
      </c>
      <c r="E818" s="12" t="str">
        <f>"201080026406"</f>
        <v>201080026406</v>
      </c>
      <c r="F818" s="12" t="str">
        <f t="shared" si="33"/>
        <v>COMPUTADORA/MICROCOMPUTADORA</v>
      </c>
      <c r="G818" s="12" t="s">
        <v>19</v>
      </c>
      <c r="H818" s="12" t="s">
        <v>20</v>
      </c>
      <c r="I818" s="16">
        <v>1</v>
      </c>
      <c r="J818" s="12" t="s">
        <v>21</v>
      </c>
      <c r="K818" s="12" t="s">
        <v>22</v>
      </c>
      <c r="L818" s="13">
        <v>35</v>
      </c>
    </row>
    <row r="819" spans="1:12" s="10" customFormat="1" ht="18" x14ac:dyDescent="0.25">
      <c r="A819" s="11">
        <v>815</v>
      </c>
      <c r="B819" s="12" t="s">
        <v>525</v>
      </c>
      <c r="C819" s="12" t="str">
        <f t="shared" si="32"/>
        <v>140502</v>
      </c>
      <c r="D819" s="12" t="str">
        <f>"14.140502/2024.01376/BC.I."</f>
        <v>14.140502/2024.01376/BC.I.</v>
      </c>
      <c r="E819" s="12" t="str">
        <f>"201080026436"</f>
        <v>201080026436</v>
      </c>
      <c r="F819" s="12" t="str">
        <f t="shared" si="33"/>
        <v>COMPUTADORA/MICROCOMPUTADORA</v>
      </c>
      <c r="G819" s="12" t="s">
        <v>19</v>
      </c>
      <c r="H819" s="12" t="s">
        <v>20</v>
      </c>
      <c r="I819" s="16">
        <v>1</v>
      </c>
      <c r="J819" s="12" t="s">
        <v>21</v>
      </c>
      <c r="K819" s="12" t="s">
        <v>22</v>
      </c>
      <c r="L819" s="13">
        <v>35</v>
      </c>
    </row>
    <row r="820" spans="1:12" s="10" customFormat="1" ht="18" x14ac:dyDescent="0.25">
      <c r="A820" s="11">
        <v>816</v>
      </c>
      <c r="B820" s="12" t="s">
        <v>525</v>
      </c>
      <c r="C820" s="12" t="str">
        <f t="shared" si="32"/>
        <v>140502</v>
      </c>
      <c r="D820" s="12" t="str">
        <f>"14.140502/2024.01421/BC.I."</f>
        <v>14.140502/2024.01421/BC.I.</v>
      </c>
      <c r="E820" s="12" t="str">
        <f>"201080026437"</f>
        <v>201080026437</v>
      </c>
      <c r="F820" s="12" t="str">
        <f t="shared" si="33"/>
        <v>COMPUTADORA/MICROCOMPUTADORA</v>
      </c>
      <c r="G820" s="12" t="s">
        <v>19</v>
      </c>
      <c r="H820" s="12" t="s">
        <v>20</v>
      </c>
      <c r="I820" s="16">
        <v>1</v>
      </c>
      <c r="J820" s="12" t="s">
        <v>21</v>
      </c>
      <c r="K820" s="12" t="s">
        <v>22</v>
      </c>
      <c r="L820" s="13">
        <v>35</v>
      </c>
    </row>
    <row r="821" spans="1:12" s="10" customFormat="1" ht="18" x14ac:dyDescent="0.25">
      <c r="A821" s="11">
        <v>817</v>
      </c>
      <c r="B821" s="12" t="s">
        <v>525</v>
      </c>
      <c r="C821" s="12" t="str">
        <f t="shared" si="32"/>
        <v>140502</v>
      </c>
      <c r="D821" s="12" t="str">
        <f>"14.140502/2024.01420/BC.I."</f>
        <v>14.140502/2024.01420/BC.I.</v>
      </c>
      <c r="E821" s="12" t="str">
        <f>"201080026438"</f>
        <v>201080026438</v>
      </c>
      <c r="F821" s="12" t="str">
        <f t="shared" si="33"/>
        <v>COMPUTADORA/MICROCOMPUTADORA</v>
      </c>
      <c r="G821" s="12" t="s">
        <v>19</v>
      </c>
      <c r="H821" s="12" t="s">
        <v>20</v>
      </c>
      <c r="I821" s="16">
        <v>1</v>
      </c>
      <c r="J821" s="12" t="s">
        <v>21</v>
      </c>
      <c r="K821" s="12" t="s">
        <v>22</v>
      </c>
      <c r="L821" s="13">
        <v>35</v>
      </c>
    </row>
    <row r="822" spans="1:12" s="10" customFormat="1" ht="18" x14ac:dyDescent="0.25">
      <c r="A822" s="11">
        <v>818</v>
      </c>
      <c r="B822" s="12" t="s">
        <v>525</v>
      </c>
      <c r="C822" s="12" t="str">
        <f t="shared" si="32"/>
        <v>140502</v>
      </c>
      <c r="D822" s="12" t="str">
        <f>"14.140502/2024.01409/BC.I."</f>
        <v>14.140502/2024.01409/BC.I.</v>
      </c>
      <c r="E822" s="12" t="str">
        <f>"201080026443"</f>
        <v>201080026443</v>
      </c>
      <c r="F822" s="12" t="str">
        <f t="shared" si="33"/>
        <v>COMPUTADORA/MICROCOMPUTADORA</v>
      </c>
      <c r="G822" s="12" t="s">
        <v>19</v>
      </c>
      <c r="H822" s="12" t="s">
        <v>20</v>
      </c>
      <c r="I822" s="16">
        <v>1</v>
      </c>
      <c r="J822" s="12" t="s">
        <v>21</v>
      </c>
      <c r="K822" s="12" t="s">
        <v>22</v>
      </c>
      <c r="L822" s="13">
        <v>35</v>
      </c>
    </row>
    <row r="823" spans="1:12" s="10" customFormat="1" ht="18" x14ac:dyDescent="0.25">
      <c r="A823" s="11">
        <v>819</v>
      </c>
      <c r="B823" s="12" t="s">
        <v>525</v>
      </c>
      <c r="C823" s="12" t="str">
        <f t="shared" si="32"/>
        <v>140502</v>
      </c>
      <c r="D823" s="12" t="str">
        <f>"14.140502/2024.01367/BC.I."</f>
        <v>14.140502/2024.01367/BC.I.</v>
      </c>
      <c r="E823" s="12" t="str">
        <f>"201080026448"</f>
        <v>201080026448</v>
      </c>
      <c r="F823" s="12" t="str">
        <f t="shared" si="33"/>
        <v>COMPUTADORA/MICROCOMPUTADORA</v>
      </c>
      <c r="G823" s="12" t="s">
        <v>19</v>
      </c>
      <c r="H823" s="12" t="s">
        <v>20</v>
      </c>
      <c r="I823" s="16">
        <v>1</v>
      </c>
      <c r="J823" s="12" t="s">
        <v>21</v>
      </c>
      <c r="K823" s="12" t="s">
        <v>22</v>
      </c>
      <c r="L823" s="13">
        <v>35</v>
      </c>
    </row>
    <row r="824" spans="1:12" s="10" customFormat="1" ht="18" x14ac:dyDescent="0.25">
      <c r="A824" s="11">
        <v>820</v>
      </c>
      <c r="B824" s="12" t="s">
        <v>525</v>
      </c>
      <c r="C824" s="12" t="str">
        <f t="shared" si="32"/>
        <v>140502</v>
      </c>
      <c r="D824" s="12" t="str">
        <f>"14.140502/2024.01428/BC.I."</f>
        <v>14.140502/2024.01428/BC.I.</v>
      </c>
      <c r="E824" s="12" t="str">
        <f>"201080026456"</f>
        <v>201080026456</v>
      </c>
      <c r="F824" s="12" t="str">
        <f t="shared" si="33"/>
        <v>COMPUTADORA/MICROCOMPUTADORA</v>
      </c>
      <c r="G824" s="12" t="s">
        <v>19</v>
      </c>
      <c r="H824" s="12" t="s">
        <v>20</v>
      </c>
      <c r="I824" s="16">
        <v>1</v>
      </c>
      <c r="J824" s="12" t="s">
        <v>21</v>
      </c>
      <c r="K824" s="12" t="s">
        <v>22</v>
      </c>
      <c r="L824" s="13">
        <v>35</v>
      </c>
    </row>
    <row r="825" spans="1:12" s="10" customFormat="1" ht="18" x14ac:dyDescent="0.25">
      <c r="A825" s="11">
        <v>821</v>
      </c>
      <c r="B825" s="12" t="s">
        <v>525</v>
      </c>
      <c r="C825" s="12" t="str">
        <f t="shared" ref="C825:C888" si="34">"140502"</f>
        <v>140502</v>
      </c>
      <c r="D825" s="12" t="str">
        <f>"14.140502/2024.01350/BC.I."</f>
        <v>14.140502/2024.01350/BC.I.</v>
      </c>
      <c r="E825" s="12" t="str">
        <f>"201080026461"</f>
        <v>201080026461</v>
      </c>
      <c r="F825" s="12" t="str">
        <f t="shared" si="33"/>
        <v>COMPUTADORA/MICROCOMPUTADORA</v>
      </c>
      <c r="G825" s="12" t="s">
        <v>19</v>
      </c>
      <c r="H825" s="12" t="s">
        <v>20</v>
      </c>
      <c r="I825" s="16">
        <v>1</v>
      </c>
      <c r="J825" s="12" t="s">
        <v>21</v>
      </c>
      <c r="K825" s="12" t="s">
        <v>22</v>
      </c>
      <c r="L825" s="13">
        <v>35</v>
      </c>
    </row>
    <row r="826" spans="1:12" s="10" customFormat="1" ht="18" x14ac:dyDescent="0.25">
      <c r="A826" s="11">
        <v>822</v>
      </c>
      <c r="B826" s="12" t="s">
        <v>525</v>
      </c>
      <c r="C826" s="12" t="str">
        <f t="shared" si="34"/>
        <v>140502</v>
      </c>
      <c r="D826" s="12" t="str">
        <f>"14.140502/2024.01395/BC.I."</f>
        <v>14.140502/2024.01395/BC.I.</v>
      </c>
      <c r="E826" s="12" t="str">
        <f>"201080026466"</f>
        <v>201080026466</v>
      </c>
      <c r="F826" s="12" t="str">
        <f t="shared" si="33"/>
        <v>COMPUTADORA/MICROCOMPUTADORA</v>
      </c>
      <c r="G826" s="12" t="s">
        <v>19</v>
      </c>
      <c r="H826" s="12" t="s">
        <v>20</v>
      </c>
      <c r="I826" s="16">
        <v>1</v>
      </c>
      <c r="J826" s="12" t="s">
        <v>21</v>
      </c>
      <c r="K826" s="12" t="s">
        <v>22</v>
      </c>
      <c r="L826" s="13">
        <v>35</v>
      </c>
    </row>
    <row r="827" spans="1:12" s="10" customFormat="1" ht="18" x14ac:dyDescent="0.25">
      <c r="A827" s="11">
        <v>823</v>
      </c>
      <c r="B827" s="12" t="s">
        <v>525</v>
      </c>
      <c r="C827" s="12" t="str">
        <f t="shared" si="34"/>
        <v>140502</v>
      </c>
      <c r="D827" s="12" t="str">
        <f>"14.140502/2024.01416/BC.I."</f>
        <v>14.140502/2024.01416/BC.I.</v>
      </c>
      <c r="E827" s="12" t="str">
        <f>"201080026476"</f>
        <v>201080026476</v>
      </c>
      <c r="F827" s="12" t="str">
        <f t="shared" si="33"/>
        <v>COMPUTADORA/MICROCOMPUTADORA</v>
      </c>
      <c r="G827" s="12" t="s">
        <v>19</v>
      </c>
      <c r="H827" s="12" t="s">
        <v>20</v>
      </c>
      <c r="I827" s="16">
        <v>1</v>
      </c>
      <c r="J827" s="12" t="s">
        <v>21</v>
      </c>
      <c r="K827" s="12" t="s">
        <v>22</v>
      </c>
      <c r="L827" s="13">
        <v>35</v>
      </c>
    </row>
    <row r="828" spans="1:12" s="10" customFormat="1" ht="18" x14ac:dyDescent="0.25">
      <c r="A828" s="11">
        <v>824</v>
      </c>
      <c r="B828" s="12" t="s">
        <v>525</v>
      </c>
      <c r="C828" s="12" t="str">
        <f t="shared" si="34"/>
        <v>140502</v>
      </c>
      <c r="D828" s="12" t="str">
        <f>"14.140502/2024.01380/BC.I."</f>
        <v>14.140502/2024.01380/BC.I.</v>
      </c>
      <c r="E828" s="12" t="str">
        <f>"201080026478"</f>
        <v>201080026478</v>
      </c>
      <c r="F828" s="12" t="str">
        <f t="shared" si="33"/>
        <v>COMPUTADORA/MICROCOMPUTADORA</v>
      </c>
      <c r="G828" s="12" t="s">
        <v>19</v>
      </c>
      <c r="H828" s="12" t="s">
        <v>20</v>
      </c>
      <c r="I828" s="16">
        <v>1</v>
      </c>
      <c r="J828" s="12" t="s">
        <v>21</v>
      </c>
      <c r="K828" s="12" t="s">
        <v>22</v>
      </c>
      <c r="L828" s="13">
        <v>35</v>
      </c>
    </row>
    <row r="829" spans="1:12" s="10" customFormat="1" ht="18" x14ac:dyDescent="0.25">
      <c r="A829" s="11">
        <v>825</v>
      </c>
      <c r="B829" s="12" t="s">
        <v>525</v>
      </c>
      <c r="C829" s="12" t="str">
        <f t="shared" si="34"/>
        <v>140502</v>
      </c>
      <c r="D829" s="12" t="str">
        <f>"14.140502/2024.01426/BC.I."</f>
        <v>14.140502/2024.01426/BC.I.</v>
      </c>
      <c r="E829" s="12" t="str">
        <f>"201080026479"</f>
        <v>201080026479</v>
      </c>
      <c r="F829" s="12" t="str">
        <f t="shared" ref="F829:F892" si="35">"COMPUTADORA/MICROCOMPUTADORA"</f>
        <v>COMPUTADORA/MICROCOMPUTADORA</v>
      </c>
      <c r="G829" s="12" t="s">
        <v>19</v>
      </c>
      <c r="H829" s="12" t="s">
        <v>20</v>
      </c>
      <c r="I829" s="16">
        <v>1</v>
      </c>
      <c r="J829" s="12" t="s">
        <v>21</v>
      </c>
      <c r="K829" s="12" t="s">
        <v>22</v>
      </c>
      <c r="L829" s="13">
        <v>35</v>
      </c>
    </row>
    <row r="830" spans="1:12" s="10" customFormat="1" ht="18" x14ac:dyDescent="0.25">
      <c r="A830" s="11">
        <v>826</v>
      </c>
      <c r="B830" s="12" t="s">
        <v>525</v>
      </c>
      <c r="C830" s="12" t="str">
        <f t="shared" si="34"/>
        <v>140502</v>
      </c>
      <c r="D830" s="12" t="str">
        <f>"14.140502/2024.01405/BC.I."</f>
        <v>14.140502/2024.01405/BC.I.</v>
      </c>
      <c r="E830" s="12" t="str">
        <f>"201080026480"</f>
        <v>201080026480</v>
      </c>
      <c r="F830" s="12" t="str">
        <f t="shared" si="35"/>
        <v>COMPUTADORA/MICROCOMPUTADORA</v>
      </c>
      <c r="G830" s="12" t="s">
        <v>19</v>
      </c>
      <c r="H830" s="12" t="s">
        <v>20</v>
      </c>
      <c r="I830" s="16">
        <v>1</v>
      </c>
      <c r="J830" s="12" t="s">
        <v>21</v>
      </c>
      <c r="K830" s="12" t="s">
        <v>22</v>
      </c>
      <c r="L830" s="13">
        <v>35</v>
      </c>
    </row>
    <row r="831" spans="1:12" s="10" customFormat="1" ht="18" x14ac:dyDescent="0.25">
      <c r="A831" s="11">
        <v>827</v>
      </c>
      <c r="B831" s="12" t="s">
        <v>525</v>
      </c>
      <c r="C831" s="12" t="str">
        <f t="shared" si="34"/>
        <v>140502</v>
      </c>
      <c r="D831" s="12" t="str">
        <f>"14.140502/2024.01435/BC.I."</f>
        <v>14.140502/2024.01435/BC.I.</v>
      </c>
      <c r="E831" s="12" t="str">
        <f>"201080026483"</f>
        <v>201080026483</v>
      </c>
      <c r="F831" s="12" t="str">
        <f t="shared" si="35"/>
        <v>COMPUTADORA/MICROCOMPUTADORA</v>
      </c>
      <c r="G831" s="12" t="s">
        <v>19</v>
      </c>
      <c r="H831" s="12" t="s">
        <v>20</v>
      </c>
      <c r="I831" s="16">
        <v>1</v>
      </c>
      <c r="J831" s="12" t="s">
        <v>21</v>
      </c>
      <c r="K831" s="12" t="s">
        <v>22</v>
      </c>
      <c r="L831" s="13">
        <v>35</v>
      </c>
    </row>
    <row r="832" spans="1:12" s="10" customFormat="1" ht="18" x14ac:dyDescent="0.25">
      <c r="A832" s="11">
        <v>828</v>
      </c>
      <c r="B832" s="12" t="s">
        <v>525</v>
      </c>
      <c r="C832" s="12" t="str">
        <f t="shared" si="34"/>
        <v>140502</v>
      </c>
      <c r="D832" s="12" t="str">
        <f>"14.140502/2024.01407/BC.I."</f>
        <v>14.140502/2024.01407/BC.I.</v>
      </c>
      <c r="E832" s="12" t="str">
        <f>"201080026488"</f>
        <v>201080026488</v>
      </c>
      <c r="F832" s="12" t="str">
        <f t="shared" si="35"/>
        <v>COMPUTADORA/MICROCOMPUTADORA</v>
      </c>
      <c r="G832" s="12" t="s">
        <v>19</v>
      </c>
      <c r="H832" s="12" t="s">
        <v>20</v>
      </c>
      <c r="I832" s="16">
        <v>1</v>
      </c>
      <c r="J832" s="12" t="s">
        <v>21</v>
      </c>
      <c r="K832" s="12" t="s">
        <v>22</v>
      </c>
      <c r="L832" s="13">
        <v>35</v>
      </c>
    </row>
    <row r="833" spans="1:12" s="10" customFormat="1" ht="18" x14ac:dyDescent="0.25">
      <c r="A833" s="11">
        <v>829</v>
      </c>
      <c r="B833" s="12" t="s">
        <v>525</v>
      </c>
      <c r="C833" s="12" t="str">
        <f t="shared" si="34"/>
        <v>140502</v>
      </c>
      <c r="D833" s="12" t="str">
        <f>"14.140502/2024.01511/BC.I."</f>
        <v>14.140502/2024.01511/BC.I.</v>
      </c>
      <c r="E833" s="12" t="str">
        <f>"201080026503"</f>
        <v>201080026503</v>
      </c>
      <c r="F833" s="12" t="str">
        <f t="shared" si="35"/>
        <v>COMPUTADORA/MICROCOMPUTADORA</v>
      </c>
      <c r="G833" s="12" t="s">
        <v>19</v>
      </c>
      <c r="H833" s="12" t="s">
        <v>20</v>
      </c>
      <c r="I833" s="16">
        <v>1</v>
      </c>
      <c r="J833" s="12" t="s">
        <v>21</v>
      </c>
      <c r="K833" s="12" t="s">
        <v>22</v>
      </c>
      <c r="L833" s="13">
        <v>35</v>
      </c>
    </row>
    <row r="834" spans="1:12" s="10" customFormat="1" ht="18" x14ac:dyDescent="0.25">
      <c r="A834" s="11">
        <v>830</v>
      </c>
      <c r="B834" s="12" t="s">
        <v>525</v>
      </c>
      <c r="C834" s="12" t="str">
        <f t="shared" si="34"/>
        <v>140502</v>
      </c>
      <c r="D834" s="12" t="str">
        <f>"14.140502/2024.01502/BC.I."</f>
        <v>14.140502/2024.01502/BC.I.</v>
      </c>
      <c r="E834" s="12" t="str">
        <f>"201080026508"</f>
        <v>201080026508</v>
      </c>
      <c r="F834" s="12" t="str">
        <f t="shared" si="35"/>
        <v>COMPUTADORA/MICROCOMPUTADORA</v>
      </c>
      <c r="G834" s="12" t="s">
        <v>19</v>
      </c>
      <c r="H834" s="12" t="s">
        <v>20</v>
      </c>
      <c r="I834" s="16">
        <v>1</v>
      </c>
      <c r="J834" s="12" t="s">
        <v>21</v>
      </c>
      <c r="K834" s="12" t="s">
        <v>22</v>
      </c>
      <c r="L834" s="13">
        <v>35</v>
      </c>
    </row>
    <row r="835" spans="1:12" s="10" customFormat="1" ht="18" x14ac:dyDescent="0.25">
      <c r="A835" s="11">
        <v>831</v>
      </c>
      <c r="B835" s="12" t="s">
        <v>525</v>
      </c>
      <c r="C835" s="12" t="str">
        <f t="shared" si="34"/>
        <v>140502</v>
      </c>
      <c r="D835" s="12" t="str">
        <f>"14.140502/2024.01339/BC.I."</f>
        <v>14.140502/2024.01339/BC.I.</v>
      </c>
      <c r="E835" s="12" t="str">
        <f>"201080026509"</f>
        <v>201080026509</v>
      </c>
      <c r="F835" s="12" t="str">
        <f t="shared" si="35"/>
        <v>COMPUTADORA/MICROCOMPUTADORA</v>
      </c>
      <c r="G835" s="12" t="s">
        <v>19</v>
      </c>
      <c r="H835" s="12" t="s">
        <v>20</v>
      </c>
      <c r="I835" s="16">
        <v>1</v>
      </c>
      <c r="J835" s="12" t="s">
        <v>21</v>
      </c>
      <c r="K835" s="12" t="s">
        <v>22</v>
      </c>
      <c r="L835" s="13">
        <v>35</v>
      </c>
    </row>
    <row r="836" spans="1:12" s="10" customFormat="1" ht="18" x14ac:dyDescent="0.25">
      <c r="A836" s="11">
        <v>832</v>
      </c>
      <c r="B836" s="12" t="s">
        <v>525</v>
      </c>
      <c r="C836" s="12" t="str">
        <f t="shared" si="34"/>
        <v>140502</v>
      </c>
      <c r="D836" s="12" t="str">
        <f>"14.140502/2024.01358/BC.I."</f>
        <v>14.140502/2024.01358/BC.I.</v>
      </c>
      <c r="E836" s="12" t="str">
        <f>"201080026519"</f>
        <v>201080026519</v>
      </c>
      <c r="F836" s="12" t="str">
        <f t="shared" si="35"/>
        <v>COMPUTADORA/MICROCOMPUTADORA</v>
      </c>
      <c r="G836" s="12" t="s">
        <v>19</v>
      </c>
      <c r="H836" s="12" t="s">
        <v>20</v>
      </c>
      <c r="I836" s="16">
        <v>1</v>
      </c>
      <c r="J836" s="12" t="s">
        <v>21</v>
      </c>
      <c r="K836" s="12" t="s">
        <v>22</v>
      </c>
      <c r="L836" s="13">
        <v>35</v>
      </c>
    </row>
    <row r="837" spans="1:12" s="10" customFormat="1" ht="18" x14ac:dyDescent="0.25">
      <c r="A837" s="11">
        <v>833</v>
      </c>
      <c r="B837" s="12" t="s">
        <v>525</v>
      </c>
      <c r="C837" s="12" t="str">
        <f t="shared" si="34"/>
        <v>140502</v>
      </c>
      <c r="D837" s="12" t="str">
        <f>"14.140502/2024.01406/BC.I."</f>
        <v>14.140502/2024.01406/BC.I.</v>
      </c>
      <c r="E837" s="12" t="str">
        <f>"201080026535"</f>
        <v>201080026535</v>
      </c>
      <c r="F837" s="12" t="str">
        <f t="shared" si="35"/>
        <v>COMPUTADORA/MICROCOMPUTADORA</v>
      </c>
      <c r="G837" s="12" t="s">
        <v>19</v>
      </c>
      <c r="H837" s="12" t="s">
        <v>20</v>
      </c>
      <c r="I837" s="16">
        <v>1</v>
      </c>
      <c r="J837" s="12" t="s">
        <v>21</v>
      </c>
      <c r="K837" s="12" t="s">
        <v>22</v>
      </c>
      <c r="L837" s="13">
        <v>35</v>
      </c>
    </row>
    <row r="838" spans="1:12" s="10" customFormat="1" ht="18" x14ac:dyDescent="0.25">
      <c r="A838" s="11">
        <v>834</v>
      </c>
      <c r="B838" s="12" t="s">
        <v>525</v>
      </c>
      <c r="C838" s="12" t="str">
        <f t="shared" si="34"/>
        <v>140502</v>
      </c>
      <c r="D838" s="12" t="str">
        <f>"14.140502/2024.01458/BC.I."</f>
        <v>14.140502/2024.01458/BC.I.</v>
      </c>
      <c r="E838" s="12" t="str">
        <f>"201080026594"</f>
        <v>201080026594</v>
      </c>
      <c r="F838" s="12" t="str">
        <f t="shared" si="35"/>
        <v>COMPUTADORA/MICROCOMPUTADORA</v>
      </c>
      <c r="G838" s="12" t="s">
        <v>19</v>
      </c>
      <c r="H838" s="12" t="s">
        <v>20</v>
      </c>
      <c r="I838" s="16">
        <v>1</v>
      </c>
      <c r="J838" s="12" t="s">
        <v>21</v>
      </c>
      <c r="K838" s="12" t="s">
        <v>22</v>
      </c>
      <c r="L838" s="13">
        <v>35</v>
      </c>
    </row>
    <row r="839" spans="1:12" s="10" customFormat="1" ht="18" x14ac:dyDescent="0.25">
      <c r="A839" s="11">
        <v>835</v>
      </c>
      <c r="B839" s="12" t="s">
        <v>525</v>
      </c>
      <c r="C839" s="12" t="str">
        <f t="shared" si="34"/>
        <v>140502</v>
      </c>
      <c r="D839" s="12" t="str">
        <f>"14.140502/2024.01364/BC.I."</f>
        <v>14.140502/2024.01364/BC.I.</v>
      </c>
      <c r="E839" s="12" t="str">
        <f>"201080026597"</f>
        <v>201080026597</v>
      </c>
      <c r="F839" s="12" t="str">
        <f t="shared" si="35"/>
        <v>COMPUTADORA/MICROCOMPUTADORA</v>
      </c>
      <c r="G839" s="12" t="s">
        <v>19</v>
      </c>
      <c r="H839" s="12" t="s">
        <v>20</v>
      </c>
      <c r="I839" s="16">
        <v>1</v>
      </c>
      <c r="J839" s="12" t="s">
        <v>21</v>
      </c>
      <c r="K839" s="12" t="s">
        <v>22</v>
      </c>
      <c r="L839" s="13">
        <v>35</v>
      </c>
    </row>
    <row r="840" spans="1:12" s="10" customFormat="1" ht="18" x14ac:dyDescent="0.25">
      <c r="A840" s="11">
        <v>836</v>
      </c>
      <c r="B840" s="12" t="s">
        <v>525</v>
      </c>
      <c r="C840" s="12" t="str">
        <f t="shared" si="34"/>
        <v>140502</v>
      </c>
      <c r="D840" s="12" t="str">
        <f>"14.140502/2024.01505/BC.I."</f>
        <v>14.140502/2024.01505/BC.I.</v>
      </c>
      <c r="E840" s="12" t="str">
        <f>"201080026602"</f>
        <v>201080026602</v>
      </c>
      <c r="F840" s="12" t="str">
        <f t="shared" si="35"/>
        <v>COMPUTADORA/MICROCOMPUTADORA</v>
      </c>
      <c r="G840" s="12" t="s">
        <v>19</v>
      </c>
      <c r="H840" s="12" t="s">
        <v>20</v>
      </c>
      <c r="I840" s="16">
        <v>1</v>
      </c>
      <c r="J840" s="12" t="s">
        <v>21</v>
      </c>
      <c r="K840" s="12" t="s">
        <v>22</v>
      </c>
      <c r="L840" s="13">
        <v>35</v>
      </c>
    </row>
    <row r="841" spans="1:12" s="10" customFormat="1" ht="18" x14ac:dyDescent="0.25">
      <c r="A841" s="11">
        <v>837</v>
      </c>
      <c r="B841" s="12" t="s">
        <v>525</v>
      </c>
      <c r="C841" s="12" t="str">
        <f t="shared" si="34"/>
        <v>140502</v>
      </c>
      <c r="D841" s="12" t="str">
        <f>"14.140502/2024.01498/BC.I."</f>
        <v>14.140502/2024.01498/BC.I.</v>
      </c>
      <c r="E841" s="12" t="str">
        <f>"201080026603"</f>
        <v>201080026603</v>
      </c>
      <c r="F841" s="12" t="str">
        <f t="shared" si="35"/>
        <v>COMPUTADORA/MICROCOMPUTADORA</v>
      </c>
      <c r="G841" s="12" t="s">
        <v>19</v>
      </c>
      <c r="H841" s="12" t="s">
        <v>20</v>
      </c>
      <c r="I841" s="16">
        <v>1</v>
      </c>
      <c r="J841" s="12" t="s">
        <v>21</v>
      </c>
      <c r="K841" s="12" t="s">
        <v>22</v>
      </c>
      <c r="L841" s="13">
        <v>35</v>
      </c>
    </row>
    <row r="842" spans="1:12" s="10" customFormat="1" ht="18" x14ac:dyDescent="0.25">
      <c r="A842" s="11">
        <v>838</v>
      </c>
      <c r="B842" s="12" t="s">
        <v>525</v>
      </c>
      <c r="C842" s="12" t="str">
        <f t="shared" si="34"/>
        <v>140502</v>
      </c>
      <c r="D842" s="12" t="str">
        <f>"14.140502/2024.01503/BC.I."</f>
        <v>14.140502/2024.01503/BC.I.</v>
      </c>
      <c r="E842" s="12" t="str">
        <f>"201080026605"</f>
        <v>201080026605</v>
      </c>
      <c r="F842" s="12" t="str">
        <f t="shared" si="35"/>
        <v>COMPUTADORA/MICROCOMPUTADORA</v>
      </c>
      <c r="G842" s="12" t="s">
        <v>19</v>
      </c>
      <c r="H842" s="12" t="s">
        <v>20</v>
      </c>
      <c r="I842" s="16">
        <v>1</v>
      </c>
      <c r="J842" s="12" t="s">
        <v>21</v>
      </c>
      <c r="K842" s="12" t="s">
        <v>22</v>
      </c>
      <c r="L842" s="13">
        <v>35</v>
      </c>
    </row>
    <row r="843" spans="1:12" s="10" customFormat="1" ht="18" x14ac:dyDescent="0.25">
      <c r="A843" s="11">
        <v>839</v>
      </c>
      <c r="B843" s="12" t="s">
        <v>525</v>
      </c>
      <c r="C843" s="12" t="str">
        <f t="shared" si="34"/>
        <v>140502</v>
      </c>
      <c r="D843" s="12" t="str">
        <f>"14.140502/2024.01504/BC.I."</f>
        <v>14.140502/2024.01504/BC.I.</v>
      </c>
      <c r="E843" s="12" t="str">
        <f>"201080026606"</f>
        <v>201080026606</v>
      </c>
      <c r="F843" s="12" t="str">
        <f t="shared" si="35"/>
        <v>COMPUTADORA/MICROCOMPUTADORA</v>
      </c>
      <c r="G843" s="12" t="s">
        <v>19</v>
      </c>
      <c r="H843" s="12" t="s">
        <v>20</v>
      </c>
      <c r="I843" s="16">
        <v>1</v>
      </c>
      <c r="J843" s="12" t="s">
        <v>21</v>
      </c>
      <c r="K843" s="12" t="s">
        <v>22</v>
      </c>
      <c r="L843" s="13">
        <v>35</v>
      </c>
    </row>
    <row r="844" spans="1:12" s="10" customFormat="1" ht="18" x14ac:dyDescent="0.25">
      <c r="A844" s="11">
        <v>840</v>
      </c>
      <c r="B844" s="12" t="s">
        <v>525</v>
      </c>
      <c r="C844" s="12" t="str">
        <f t="shared" si="34"/>
        <v>140502</v>
      </c>
      <c r="D844" s="12" t="str">
        <f>"14.140502/2024.01459/BC.I."</f>
        <v>14.140502/2024.01459/BC.I.</v>
      </c>
      <c r="E844" s="12" t="str">
        <f>"201080026613"</f>
        <v>201080026613</v>
      </c>
      <c r="F844" s="12" t="str">
        <f t="shared" si="35"/>
        <v>COMPUTADORA/MICROCOMPUTADORA</v>
      </c>
      <c r="G844" s="12" t="s">
        <v>19</v>
      </c>
      <c r="H844" s="12" t="s">
        <v>20</v>
      </c>
      <c r="I844" s="16">
        <v>1</v>
      </c>
      <c r="J844" s="12" t="s">
        <v>21</v>
      </c>
      <c r="K844" s="12" t="s">
        <v>22</v>
      </c>
      <c r="L844" s="13">
        <v>35</v>
      </c>
    </row>
    <row r="845" spans="1:12" s="10" customFormat="1" ht="18" x14ac:dyDescent="0.25">
      <c r="A845" s="11">
        <v>841</v>
      </c>
      <c r="B845" s="12" t="s">
        <v>525</v>
      </c>
      <c r="C845" s="12" t="str">
        <f t="shared" si="34"/>
        <v>140502</v>
      </c>
      <c r="D845" s="12" t="str">
        <f>"14.140502/2024.01352/BC.I."</f>
        <v>14.140502/2024.01352/BC.I.</v>
      </c>
      <c r="E845" s="12" t="str">
        <f>"201080026614"</f>
        <v>201080026614</v>
      </c>
      <c r="F845" s="12" t="str">
        <f t="shared" si="35"/>
        <v>COMPUTADORA/MICROCOMPUTADORA</v>
      </c>
      <c r="G845" s="12" t="s">
        <v>19</v>
      </c>
      <c r="H845" s="12" t="s">
        <v>20</v>
      </c>
      <c r="I845" s="16">
        <v>1</v>
      </c>
      <c r="J845" s="12" t="s">
        <v>21</v>
      </c>
      <c r="K845" s="12" t="s">
        <v>22</v>
      </c>
      <c r="L845" s="13">
        <v>35</v>
      </c>
    </row>
    <row r="846" spans="1:12" s="10" customFormat="1" ht="18" x14ac:dyDescent="0.25">
      <c r="A846" s="11">
        <v>842</v>
      </c>
      <c r="B846" s="12" t="s">
        <v>525</v>
      </c>
      <c r="C846" s="12" t="str">
        <f t="shared" si="34"/>
        <v>140502</v>
      </c>
      <c r="D846" s="12" t="str">
        <f>"14.140502/2024.01371/BC.I."</f>
        <v>14.140502/2024.01371/BC.I.</v>
      </c>
      <c r="E846" s="12" t="str">
        <f>"201080026621"</f>
        <v>201080026621</v>
      </c>
      <c r="F846" s="12" t="str">
        <f t="shared" si="35"/>
        <v>COMPUTADORA/MICROCOMPUTADORA</v>
      </c>
      <c r="G846" s="12" t="s">
        <v>19</v>
      </c>
      <c r="H846" s="12" t="s">
        <v>20</v>
      </c>
      <c r="I846" s="16">
        <v>1</v>
      </c>
      <c r="J846" s="12" t="s">
        <v>21</v>
      </c>
      <c r="K846" s="12" t="s">
        <v>22</v>
      </c>
      <c r="L846" s="13">
        <v>35</v>
      </c>
    </row>
    <row r="847" spans="1:12" s="10" customFormat="1" ht="18" x14ac:dyDescent="0.25">
      <c r="A847" s="11">
        <v>843</v>
      </c>
      <c r="B847" s="12" t="s">
        <v>525</v>
      </c>
      <c r="C847" s="12" t="str">
        <f t="shared" si="34"/>
        <v>140502</v>
      </c>
      <c r="D847" s="12" t="str">
        <f>"14.140502/2024.01464/BC.I."</f>
        <v>14.140502/2024.01464/BC.I.</v>
      </c>
      <c r="E847" s="12" t="str">
        <f>"201080026622"</f>
        <v>201080026622</v>
      </c>
      <c r="F847" s="12" t="str">
        <f t="shared" si="35"/>
        <v>COMPUTADORA/MICROCOMPUTADORA</v>
      </c>
      <c r="G847" s="12" t="s">
        <v>19</v>
      </c>
      <c r="H847" s="12" t="s">
        <v>20</v>
      </c>
      <c r="I847" s="16">
        <v>1</v>
      </c>
      <c r="J847" s="12" t="s">
        <v>21</v>
      </c>
      <c r="K847" s="12" t="s">
        <v>22</v>
      </c>
      <c r="L847" s="13">
        <v>35</v>
      </c>
    </row>
    <row r="848" spans="1:12" s="10" customFormat="1" ht="18" x14ac:dyDescent="0.25">
      <c r="A848" s="11">
        <v>844</v>
      </c>
      <c r="B848" s="12" t="s">
        <v>525</v>
      </c>
      <c r="C848" s="12" t="str">
        <f t="shared" si="34"/>
        <v>140502</v>
      </c>
      <c r="D848" s="12" t="str">
        <f>"14.140502/2024.01418/BC.I."</f>
        <v>14.140502/2024.01418/BC.I.</v>
      </c>
      <c r="E848" s="12" t="str">
        <f>"201080026623"</f>
        <v>201080026623</v>
      </c>
      <c r="F848" s="12" t="str">
        <f t="shared" si="35"/>
        <v>COMPUTADORA/MICROCOMPUTADORA</v>
      </c>
      <c r="G848" s="12" t="s">
        <v>19</v>
      </c>
      <c r="H848" s="12" t="s">
        <v>20</v>
      </c>
      <c r="I848" s="16">
        <v>1</v>
      </c>
      <c r="J848" s="12" t="s">
        <v>21</v>
      </c>
      <c r="K848" s="12" t="s">
        <v>22</v>
      </c>
      <c r="L848" s="13">
        <v>35</v>
      </c>
    </row>
    <row r="849" spans="1:12" s="10" customFormat="1" ht="18" x14ac:dyDescent="0.25">
      <c r="A849" s="11">
        <v>845</v>
      </c>
      <c r="B849" s="12" t="s">
        <v>525</v>
      </c>
      <c r="C849" s="12" t="str">
        <f t="shared" si="34"/>
        <v>140502</v>
      </c>
      <c r="D849" s="12" t="str">
        <f>"14.140502/2024.01368/BC.I."</f>
        <v>14.140502/2024.01368/BC.I.</v>
      </c>
      <c r="E849" s="12" t="str">
        <f>"201080026624"</f>
        <v>201080026624</v>
      </c>
      <c r="F849" s="12" t="str">
        <f t="shared" si="35"/>
        <v>COMPUTADORA/MICROCOMPUTADORA</v>
      </c>
      <c r="G849" s="12" t="s">
        <v>19</v>
      </c>
      <c r="H849" s="12" t="s">
        <v>20</v>
      </c>
      <c r="I849" s="16">
        <v>1</v>
      </c>
      <c r="J849" s="12" t="s">
        <v>21</v>
      </c>
      <c r="K849" s="12" t="s">
        <v>22</v>
      </c>
      <c r="L849" s="13">
        <v>35</v>
      </c>
    </row>
    <row r="850" spans="1:12" s="10" customFormat="1" ht="18" x14ac:dyDescent="0.25">
      <c r="A850" s="11">
        <v>846</v>
      </c>
      <c r="B850" s="12" t="s">
        <v>525</v>
      </c>
      <c r="C850" s="12" t="str">
        <f t="shared" si="34"/>
        <v>140502</v>
      </c>
      <c r="D850" s="12" t="str">
        <f>"14.140502/2024.01412/BC.I."</f>
        <v>14.140502/2024.01412/BC.I.</v>
      </c>
      <c r="E850" s="12" t="str">
        <f>"201080026625"</f>
        <v>201080026625</v>
      </c>
      <c r="F850" s="12" t="str">
        <f t="shared" si="35"/>
        <v>COMPUTADORA/MICROCOMPUTADORA</v>
      </c>
      <c r="G850" s="12" t="s">
        <v>19</v>
      </c>
      <c r="H850" s="12" t="s">
        <v>20</v>
      </c>
      <c r="I850" s="16">
        <v>1</v>
      </c>
      <c r="J850" s="12" t="s">
        <v>21</v>
      </c>
      <c r="K850" s="12" t="s">
        <v>22</v>
      </c>
      <c r="L850" s="13">
        <v>35</v>
      </c>
    </row>
    <row r="851" spans="1:12" s="10" customFormat="1" ht="18" x14ac:dyDescent="0.25">
      <c r="A851" s="11">
        <v>847</v>
      </c>
      <c r="B851" s="12" t="s">
        <v>525</v>
      </c>
      <c r="C851" s="12" t="str">
        <f t="shared" si="34"/>
        <v>140502</v>
      </c>
      <c r="D851" s="12" t="str">
        <f>"14.140502/2024.01463/BC.I."</f>
        <v>14.140502/2024.01463/BC.I.</v>
      </c>
      <c r="E851" s="12" t="str">
        <f>"201080026626"</f>
        <v>201080026626</v>
      </c>
      <c r="F851" s="12" t="str">
        <f t="shared" si="35"/>
        <v>COMPUTADORA/MICROCOMPUTADORA</v>
      </c>
      <c r="G851" s="12" t="s">
        <v>19</v>
      </c>
      <c r="H851" s="12" t="s">
        <v>20</v>
      </c>
      <c r="I851" s="16">
        <v>1</v>
      </c>
      <c r="J851" s="12" t="s">
        <v>21</v>
      </c>
      <c r="K851" s="12" t="s">
        <v>22</v>
      </c>
      <c r="L851" s="13">
        <v>35</v>
      </c>
    </row>
    <row r="852" spans="1:12" s="10" customFormat="1" ht="18" x14ac:dyDescent="0.25">
      <c r="A852" s="11">
        <v>848</v>
      </c>
      <c r="B852" s="12" t="s">
        <v>525</v>
      </c>
      <c r="C852" s="12" t="str">
        <f t="shared" si="34"/>
        <v>140502</v>
      </c>
      <c r="D852" s="12" t="str">
        <f>"14.140502/2024.01461/BC.I."</f>
        <v>14.140502/2024.01461/BC.I.</v>
      </c>
      <c r="E852" s="12" t="str">
        <f>"201080026628"</f>
        <v>201080026628</v>
      </c>
      <c r="F852" s="12" t="str">
        <f t="shared" si="35"/>
        <v>COMPUTADORA/MICROCOMPUTADORA</v>
      </c>
      <c r="G852" s="12" t="s">
        <v>19</v>
      </c>
      <c r="H852" s="12" t="s">
        <v>20</v>
      </c>
      <c r="I852" s="16">
        <v>1</v>
      </c>
      <c r="J852" s="12" t="s">
        <v>21</v>
      </c>
      <c r="K852" s="12" t="s">
        <v>22</v>
      </c>
      <c r="L852" s="13">
        <v>35</v>
      </c>
    </row>
    <row r="853" spans="1:12" s="10" customFormat="1" ht="18" x14ac:dyDescent="0.25">
      <c r="A853" s="11">
        <v>849</v>
      </c>
      <c r="B853" s="12" t="s">
        <v>525</v>
      </c>
      <c r="C853" s="12" t="str">
        <f t="shared" si="34"/>
        <v>140502</v>
      </c>
      <c r="D853" s="12" t="str">
        <f>"14.140502/2024.01440/BC.I."</f>
        <v>14.140502/2024.01440/BC.I.</v>
      </c>
      <c r="E853" s="12" t="str">
        <f>"201080026629"</f>
        <v>201080026629</v>
      </c>
      <c r="F853" s="12" t="str">
        <f t="shared" si="35"/>
        <v>COMPUTADORA/MICROCOMPUTADORA</v>
      </c>
      <c r="G853" s="12" t="s">
        <v>19</v>
      </c>
      <c r="H853" s="12" t="s">
        <v>20</v>
      </c>
      <c r="I853" s="16">
        <v>1</v>
      </c>
      <c r="J853" s="12" t="s">
        <v>21</v>
      </c>
      <c r="K853" s="12" t="s">
        <v>22</v>
      </c>
      <c r="L853" s="13">
        <v>35</v>
      </c>
    </row>
    <row r="854" spans="1:12" s="10" customFormat="1" ht="18" x14ac:dyDescent="0.25">
      <c r="A854" s="11">
        <v>850</v>
      </c>
      <c r="B854" s="12" t="s">
        <v>525</v>
      </c>
      <c r="C854" s="12" t="str">
        <f t="shared" si="34"/>
        <v>140502</v>
      </c>
      <c r="D854" s="12" t="str">
        <f>"14.140502/2024.01397/BC.I."</f>
        <v>14.140502/2024.01397/BC.I.</v>
      </c>
      <c r="E854" s="12" t="str">
        <f>"201080026911"</f>
        <v>201080026911</v>
      </c>
      <c r="F854" s="12" t="str">
        <f t="shared" si="35"/>
        <v>COMPUTADORA/MICROCOMPUTADORA</v>
      </c>
      <c r="G854" s="12" t="s">
        <v>19</v>
      </c>
      <c r="H854" s="12" t="s">
        <v>20</v>
      </c>
      <c r="I854" s="16">
        <v>1</v>
      </c>
      <c r="J854" s="12" t="s">
        <v>21</v>
      </c>
      <c r="K854" s="12" t="s">
        <v>22</v>
      </c>
      <c r="L854" s="13">
        <v>35</v>
      </c>
    </row>
    <row r="855" spans="1:12" s="10" customFormat="1" ht="18" x14ac:dyDescent="0.25">
      <c r="A855" s="11">
        <v>851</v>
      </c>
      <c r="B855" s="12" t="s">
        <v>525</v>
      </c>
      <c r="C855" s="12" t="str">
        <f t="shared" si="34"/>
        <v>140502</v>
      </c>
      <c r="D855" s="12" t="str">
        <f>"14.140502/2024.01462/BC.I."</f>
        <v>14.140502/2024.01462/BC.I.</v>
      </c>
      <c r="E855" s="12" t="str">
        <f>"201080026912"</f>
        <v>201080026912</v>
      </c>
      <c r="F855" s="12" t="str">
        <f t="shared" si="35"/>
        <v>COMPUTADORA/MICROCOMPUTADORA</v>
      </c>
      <c r="G855" s="12" t="s">
        <v>19</v>
      </c>
      <c r="H855" s="12" t="s">
        <v>20</v>
      </c>
      <c r="I855" s="16">
        <v>1</v>
      </c>
      <c r="J855" s="12" t="s">
        <v>21</v>
      </c>
      <c r="K855" s="12" t="s">
        <v>22</v>
      </c>
      <c r="L855" s="13">
        <v>35</v>
      </c>
    </row>
    <row r="856" spans="1:12" s="10" customFormat="1" ht="18" x14ac:dyDescent="0.25">
      <c r="A856" s="11">
        <v>852</v>
      </c>
      <c r="B856" s="12" t="s">
        <v>525</v>
      </c>
      <c r="C856" s="12" t="str">
        <f t="shared" si="34"/>
        <v>140502</v>
      </c>
      <c r="D856" s="12" t="str">
        <f>"14.140502/2024.01487/BC.I."</f>
        <v>14.140502/2024.01487/BC.I.</v>
      </c>
      <c r="E856" s="12" t="str">
        <f>"201080026913"</f>
        <v>201080026913</v>
      </c>
      <c r="F856" s="12" t="str">
        <f t="shared" si="35"/>
        <v>COMPUTADORA/MICROCOMPUTADORA</v>
      </c>
      <c r="G856" s="12" t="s">
        <v>19</v>
      </c>
      <c r="H856" s="12" t="s">
        <v>20</v>
      </c>
      <c r="I856" s="16">
        <v>1</v>
      </c>
      <c r="J856" s="12" t="s">
        <v>21</v>
      </c>
      <c r="K856" s="12" t="s">
        <v>22</v>
      </c>
      <c r="L856" s="13">
        <v>35</v>
      </c>
    </row>
    <row r="857" spans="1:12" s="10" customFormat="1" ht="18" x14ac:dyDescent="0.25">
      <c r="A857" s="11">
        <v>853</v>
      </c>
      <c r="B857" s="12" t="s">
        <v>525</v>
      </c>
      <c r="C857" s="12" t="str">
        <f t="shared" si="34"/>
        <v>140502</v>
      </c>
      <c r="D857" s="12" t="str">
        <f>"14.140502/2024.01510/BC.I."</f>
        <v>14.140502/2024.01510/BC.I.</v>
      </c>
      <c r="E857" s="12" t="str">
        <f>"201080026916"</f>
        <v>201080026916</v>
      </c>
      <c r="F857" s="12" t="str">
        <f t="shared" si="35"/>
        <v>COMPUTADORA/MICROCOMPUTADORA</v>
      </c>
      <c r="G857" s="12" t="s">
        <v>19</v>
      </c>
      <c r="H857" s="12" t="s">
        <v>20</v>
      </c>
      <c r="I857" s="16">
        <v>1</v>
      </c>
      <c r="J857" s="12" t="s">
        <v>21</v>
      </c>
      <c r="K857" s="12" t="s">
        <v>22</v>
      </c>
      <c r="L857" s="13">
        <v>35</v>
      </c>
    </row>
    <row r="858" spans="1:12" s="10" customFormat="1" ht="18" x14ac:dyDescent="0.25">
      <c r="A858" s="11">
        <v>854</v>
      </c>
      <c r="B858" s="12" t="s">
        <v>525</v>
      </c>
      <c r="C858" s="12" t="str">
        <f t="shared" si="34"/>
        <v>140502</v>
      </c>
      <c r="D858" s="12" t="str">
        <f>"14.140502/2024.01346/BC.I."</f>
        <v>14.140502/2024.01346/BC.I.</v>
      </c>
      <c r="E858" s="12" t="str">
        <f>"201080026917"</f>
        <v>201080026917</v>
      </c>
      <c r="F858" s="12" t="str">
        <f t="shared" si="35"/>
        <v>COMPUTADORA/MICROCOMPUTADORA</v>
      </c>
      <c r="G858" s="12" t="s">
        <v>19</v>
      </c>
      <c r="H858" s="12" t="s">
        <v>20</v>
      </c>
      <c r="I858" s="16">
        <v>1</v>
      </c>
      <c r="J858" s="12" t="s">
        <v>21</v>
      </c>
      <c r="K858" s="12" t="s">
        <v>22</v>
      </c>
      <c r="L858" s="13">
        <v>35</v>
      </c>
    </row>
    <row r="859" spans="1:12" s="10" customFormat="1" ht="18" x14ac:dyDescent="0.25">
      <c r="A859" s="11">
        <v>855</v>
      </c>
      <c r="B859" s="12" t="s">
        <v>525</v>
      </c>
      <c r="C859" s="12" t="str">
        <f t="shared" si="34"/>
        <v>140502</v>
      </c>
      <c r="D859" s="12" t="str">
        <f>"14.140502/2024.01501/BC.I."</f>
        <v>14.140502/2024.01501/BC.I.</v>
      </c>
      <c r="E859" s="12" t="str">
        <f>"201080026919"</f>
        <v>201080026919</v>
      </c>
      <c r="F859" s="12" t="str">
        <f t="shared" si="35"/>
        <v>COMPUTADORA/MICROCOMPUTADORA</v>
      </c>
      <c r="G859" s="12" t="s">
        <v>19</v>
      </c>
      <c r="H859" s="12" t="s">
        <v>20</v>
      </c>
      <c r="I859" s="16">
        <v>1</v>
      </c>
      <c r="J859" s="12" t="s">
        <v>21</v>
      </c>
      <c r="K859" s="12" t="s">
        <v>22</v>
      </c>
      <c r="L859" s="13">
        <v>35</v>
      </c>
    </row>
    <row r="860" spans="1:12" s="10" customFormat="1" ht="18" x14ac:dyDescent="0.25">
      <c r="A860" s="11">
        <v>856</v>
      </c>
      <c r="B860" s="12" t="s">
        <v>525</v>
      </c>
      <c r="C860" s="12" t="str">
        <f t="shared" si="34"/>
        <v>140502</v>
      </c>
      <c r="D860" s="12" t="str">
        <f>"14.140502/2024.01508/BC.I."</f>
        <v>14.140502/2024.01508/BC.I.</v>
      </c>
      <c r="E860" s="12" t="str">
        <f>"201080026922"</f>
        <v>201080026922</v>
      </c>
      <c r="F860" s="12" t="str">
        <f t="shared" si="35"/>
        <v>COMPUTADORA/MICROCOMPUTADORA</v>
      </c>
      <c r="G860" s="12" t="s">
        <v>19</v>
      </c>
      <c r="H860" s="12" t="s">
        <v>20</v>
      </c>
      <c r="I860" s="16">
        <v>1</v>
      </c>
      <c r="J860" s="12" t="s">
        <v>21</v>
      </c>
      <c r="K860" s="12" t="s">
        <v>22</v>
      </c>
      <c r="L860" s="13">
        <v>35</v>
      </c>
    </row>
    <row r="861" spans="1:12" s="10" customFormat="1" ht="18" x14ac:dyDescent="0.25">
      <c r="A861" s="11">
        <v>857</v>
      </c>
      <c r="B861" s="12" t="s">
        <v>525</v>
      </c>
      <c r="C861" s="12" t="str">
        <f t="shared" si="34"/>
        <v>140502</v>
      </c>
      <c r="D861" s="12" t="str">
        <f>"14.140502/2024.01391/BC.I."</f>
        <v>14.140502/2024.01391/BC.I.</v>
      </c>
      <c r="E861" s="12" t="str">
        <f>"201080026923"</f>
        <v>201080026923</v>
      </c>
      <c r="F861" s="12" t="str">
        <f t="shared" si="35"/>
        <v>COMPUTADORA/MICROCOMPUTADORA</v>
      </c>
      <c r="G861" s="12" t="s">
        <v>19</v>
      </c>
      <c r="H861" s="12" t="s">
        <v>20</v>
      </c>
      <c r="I861" s="16">
        <v>1</v>
      </c>
      <c r="J861" s="12" t="s">
        <v>21</v>
      </c>
      <c r="K861" s="12" t="s">
        <v>22</v>
      </c>
      <c r="L861" s="13">
        <v>35</v>
      </c>
    </row>
    <row r="862" spans="1:12" s="10" customFormat="1" ht="18" x14ac:dyDescent="0.25">
      <c r="A862" s="11">
        <v>858</v>
      </c>
      <c r="B862" s="12" t="s">
        <v>525</v>
      </c>
      <c r="C862" s="12" t="str">
        <f t="shared" si="34"/>
        <v>140502</v>
      </c>
      <c r="D862" s="12" t="str">
        <f>"14.140502/2024.01388/BC.I."</f>
        <v>14.140502/2024.01388/BC.I.</v>
      </c>
      <c r="E862" s="12" t="str">
        <f>"201080026925"</f>
        <v>201080026925</v>
      </c>
      <c r="F862" s="12" t="str">
        <f t="shared" si="35"/>
        <v>COMPUTADORA/MICROCOMPUTADORA</v>
      </c>
      <c r="G862" s="12" t="s">
        <v>19</v>
      </c>
      <c r="H862" s="12" t="s">
        <v>20</v>
      </c>
      <c r="I862" s="16">
        <v>1</v>
      </c>
      <c r="J862" s="12" t="s">
        <v>21</v>
      </c>
      <c r="K862" s="12" t="s">
        <v>22</v>
      </c>
      <c r="L862" s="13">
        <v>35</v>
      </c>
    </row>
    <row r="863" spans="1:12" s="10" customFormat="1" ht="18" x14ac:dyDescent="0.25">
      <c r="A863" s="11">
        <v>859</v>
      </c>
      <c r="B863" s="12" t="s">
        <v>525</v>
      </c>
      <c r="C863" s="12" t="str">
        <f t="shared" si="34"/>
        <v>140502</v>
      </c>
      <c r="D863" s="12" t="str">
        <f>"14.140502/2024.01373/BC.I."</f>
        <v>14.140502/2024.01373/BC.I.</v>
      </c>
      <c r="E863" s="12" t="str">
        <f>"201080026926"</f>
        <v>201080026926</v>
      </c>
      <c r="F863" s="12" t="str">
        <f t="shared" si="35"/>
        <v>COMPUTADORA/MICROCOMPUTADORA</v>
      </c>
      <c r="G863" s="12" t="s">
        <v>19</v>
      </c>
      <c r="H863" s="12" t="s">
        <v>20</v>
      </c>
      <c r="I863" s="16">
        <v>1</v>
      </c>
      <c r="J863" s="12" t="s">
        <v>21</v>
      </c>
      <c r="K863" s="12" t="s">
        <v>22</v>
      </c>
      <c r="L863" s="13">
        <v>35</v>
      </c>
    </row>
    <row r="864" spans="1:12" s="10" customFormat="1" ht="18" x14ac:dyDescent="0.25">
      <c r="A864" s="11">
        <v>860</v>
      </c>
      <c r="B864" s="12" t="s">
        <v>525</v>
      </c>
      <c r="C864" s="12" t="str">
        <f t="shared" si="34"/>
        <v>140502</v>
      </c>
      <c r="D864" s="12" t="str">
        <f>"14.140502/2024.01404/BC.I."</f>
        <v>14.140502/2024.01404/BC.I.</v>
      </c>
      <c r="E864" s="12" t="str">
        <f>"201080026928"</f>
        <v>201080026928</v>
      </c>
      <c r="F864" s="12" t="str">
        <f t="shared" si="35"/>
        <v>COMPUTADORA/MICROCOMPUTADORA</v>
      </c>
      <c r="G864" s="12" t="s">
        <v>19</v>
      </c>
      <c r="H864" s="12" t="s">
        <v>20</v>
      </c>
      <c r="I864" s="16">
        <v>1</v>
      </c>
      <c r="J864" s="12" t="s">
        <v>21</v>
      </c>
      <c r="K864" s="12" t="s">
        <v>22</v>
      </c>
      <c r="L864" s="13">
        <v>35</v>
      </c>
    </row>
    <row r="865" spans="1:12" s="10" customFormat="1" ht="18" x14ac:dyDescent="0.25">
      <c r="A865" s="11">
        <v>861</v>
      </c>
      <c r="B865" s="12" t="s">
        <v>525</v>
      </c>
      <c r="C865" s="12" t="str">
        <f t="shared" si="34"/>
        <v>140502</v>
      </c>
      <c r="D865" s="12" t="str">
        <f>"14.140502/2024.01361/BC.I."</f>
        <v>14.140502/2024.01361/BC.I.</v>
      </c>
      <c r="E865" s="12" t="str">
        <f>"201080026929"</f>
        <v>201080026929</v>
      </c>
      <c r="F865" s="12" t="str">
        <f t="shared" si="35"/>
        <v>COMPUTADORA/MICROCOMPUTADORA</v>
      </c>
      <c r="G865" s="12" t="s">
        <v>19</v>
      </c>
      <c r="H865" s="12" t="s">
        <v>20</v>
      </c>
      <c r="I865" s="16">
        <v>1</v>
      </c>
      <c r="J865" s="12" t="s">
        <v>21</v>
      </c>
      <c r="K865" s="12" t="s">
        <v>22</v>
      </c>
      <c r="L865" s="13">
        <v>35</v>
      </c>
    </row>
    <row r="866" spans="1:12" s="10" customFormat="1" ht="18" x14ac:dyDescent="0.25">
      <c r="A866" s="11">
        <v>862</v>
      </c>
      <c r="B866" s="12" t="s">
        <v>525</v>
      </c>
      <c r="C866" s="12" t="str">
        <f t="shared" si="34"/>
        <v>140502</v>
      </c>
      <c r="D866" s="12" t="str">
        <f>"14.140502/2024.01343/BC.I."</f>
        <v>14.140502/2024.01343/BC.I.</v>
      </c>
      <c r="E866" s="12" t="str">
        <f>"201080026931"</f>
        <v>201080026931</v>
      </c>
      <c r="F866" s="12" t="str">
        <f t="shared" si="35"/>
        <v>COMPUTADORA/MICROCOMPUTADORA</v>
      </c>
      <c r="G866" s="12" t="s">
        <v>19</v>
      </c>
      <c r="H866" s="12" t="s">
        <v>20</v>
      </c>
      <c r="I866" s="16">
        <v>1</v>
      </c>
      <c r="J866" s="12" t="s">
        <v>21</v>
      </c>
      <c r="K866" s="12" t="s">
        <v>22</v>
      </c>
      <c r="L866" s="13">
        <v>35</v>
      </c>
    </row>
    <row r="867" spans="1:12" s="10" customFormat="1" ht="18" x14ac:dyDescent="0.25">
      <c r="A867" s="11">
        <v>863</v>
      </c>
      <c r="B867" s="12" t="s">
        <v>525</v>
      </c>
      <c r="C867" s="12" t="str">
        <f t="shared" si="34"/>
        <v>140502</v>
      </c>
      <c r="D867" s="12" t="str">
        <f>"14.140502/2024.01347/BC.I."</f>
        <v>14.140502/2024.01347/BC.I.</v>
      </c>
      <c r="E867" s="12" t="str">
        <f>"201080026932"</f>
        <v>201080026932</v>
      </c>
      <c r="F867" s="12" t="str">
        <f t="shared" si="35"/>
        <v>COMPUTADORA/MICROCOMPUTADORA</v>
      </c>
      <c r="G867" s="12" t="s">
        <v>19</v>
      </c>
      <c r="H867" s="12" t="s">
        <v>20</v>
      </c>
      <c r="I867" s="16">
        <v>1</v>
      </c>
      <c r="J867" s="12" t="s">
        <v>21</v>
      </c>
      <c r="K867" s="12" t="s">
        <v>22</v>
      </c>
      <c r="L867" s="13">
        <v>35</v>
      </c>
    </row>
    <row r="868" spans="1:12" s="10" customFormat="1" ht="18" x14ac:dyDescent="0.25">
      <c r="A868" s="11">
        <v>864</v>
      </c>
      <c r="B868" s="12" t="s">
        <v>525</v>
      </c>
      <c r="C868" s="12" t="str">
        <f t="shared" si="34"/>
        <v>140502</v>
      </c>
      <c r="D868" s="12" t="str">
        <f>"14.140502/2024.01341/BC.I."</f>
        <v>14.140502/2024.01341/BC.I.</v>
      </c>
      <c r="E868" s="12" t="str">
        <f>"201080026934"</f>
        <v>201080026934</v>
      </c>
      <c r="F868" s="12" t="str">
        <f t="shared" si="35"/>
        <v>COMPUTADORA/MICROCOMPUTADORA</v>
      </c>
      <c r="G868" s="12" t="s">
        <v>19</v>
      </c>
      <c r="H868" s="12" t="s">
        <v>20</v>
      </c>
      <c r="I868" s="16">
        <v>1</v>
      </c>
      <c r="J868" s="12" t="s">
        <v>21</v>
      </c>
      <c r="K868" s="12" t="s">
        <v>22</v>
      </c>
      <c r="L868" s="13">
        <v>35</v>
      </c>
    </row>
    <row r="869" spans="1:12" s="10" customFormat="1" ht="18" x14ac:dyDescent="0.25">
      <c r="A869" s="11">
        <v>865</v>
      </c>
      <c r="B869" s="12" t="s">
        <v>525</v>
      </c>
      <c r="C869" s="12" t="str">
        <f t="shared" si="34"/>
        <v>140502</v>
      </c>
      <c r="D869" s="12" t="str">
        <f>"14.140502/2024.01398/BC.I."</f>
        <v>14.140502/2024.01398/BC.I.</v>
      </c>
      <c r="E869" s="12" t="str">
        <f>"201080026935"</f>
        <v>201080026935</v>
      </c>
      <c r="F869" s="12" t="str">
        <f t="shared" si="35"/>
        <v>COMPUTADORA/MICROCOMPUTADORA</v>
      </c>
      <c r="G869" s="12" t="s">
        <v>19</v>
      </c>
      <c r="H869" s="12" t="s">
        <v>20</v>
      </c>
      <c r="I869" s="16">
        <v>1</v>
      </c>
      <c r="J869" s="12" t="s">
        <v>21</v>
      </c>
      <c r="K869" s="12" t="s">
        <v>22</v>
      </c>
      <c r="L869" s="13">
        <v>35</v>
      </c>
    </row>
    <row r="870" spans="1:12" s="10" customFormat="1" ht="18" x14ac:dyDescent="0.25">
      <c r="A870" s="11">
        <v>866</v>
      </c>
      <c r="B870" s="12" t="s">
        <v>525</v>
      </c>
      <c r="C870" s="12" t="str">
        <f t="shared" si="34"/>
        <v>140502</v>
      </c>
      <c r="D870" s="12" t="str">
        <f>"14.140502/2024.01372/BC.I."</f>
        <v>14.140502/2024.01372/BC.I.</v>
      </c>
      <c r="E870" s="12" t="str">
        <f>"201080026936"</f>
        <v>201080026936</v>
      </c>
      <c r="F870" s="12" t="str">
        <f t="shared" si="35"/>
        <v>COMPUTADORA/MICROCOMPUTADORA</v>
      </c>
      <c r="G870" s="12" t="s">
        <v>19</v>
      </c>
      <c r="H870" s="12" t="s">
        <v>20</v>
      </c>
      <c r="I870" s="16">
        <v>1</v>
      </c>
      <c r="J870" s="12" t="s">
        <v>21</v>
      </c>
      <c r="K870" s="12" t="s">
        <v>22</v>
      </c>
      <c r="L870" s="13">
        <v>35</v>
      </c>
    </row>
    <row r="871" spans="1:12" s="10" customFormat="1" ht="18" x14ac:dyDescent="0.25">
      <c r="A871" s="11">
        <v>867</v>
      </c>
      <c r="B871" s="12" t="s">
        <v>525</v>
      </c>
      <c r="C871" s="12" t="str">
        <f t="shared" si="34"/>
        <v>140502</v>
      </c>
      <c r="D871" s="12" t="str">
        <f>"14.140502/2024.01360/BC.I."</f>
        <v>14.140502/2024.01360/BC.I.</v>
      </c>
      <c r="E871" s="12" t="str">
        <f>"201080026937"</f>
        <v>201080026937</v>
      </c>
      <c r="F871" s="12" t="str">
        <f t="shared" si="35"/>
        <v>COMPUTADORA/MICROCOMPUTADORA</v>
      </c>
      <c r="G871" s="12" t="s">
        <v>19</v>
      </c>
      <c r="H871" s="12" t="s">
        <v>20</v>
      </c>
      <c r="I871" s="16">
        <v>1</v>
      </c>
      <c r="J871" s="12" t="s">
        <v>21</v>
      </c>
      <c r="K871" s="12" t="s">
        <v>22</v>
      </c>
      <c r="L871" s="13">
        <v>35</v>
      </c>
    </row>
    <row r="872" spans="1:12" s="10" customFormat="1" ht="18" x14ac:dyDescent="0.25">
      <c r="A872" s="11">
        <v>868</v>
      </c>
      <c r="B872" s="12" t="s">
        <v>525</v>
      </c>
      <c r="C872" s="12" t="str">
        <f t="shared" si="34"/>
        <v>140502</v>
      </c>
      <c r="D872" s="12" t="str">
        <f>"14.140502/2024.01403/BC.I."</f>
        <v>14.140502/2024.01403/BC.I.</v>
      </c>
      <c r="E872" s="12" t="str">
        <f>"201080026939"</f>
        <v>201080026939</v>
      </c>
      <c r="F872" s="12" t="str">
        <f t="shared" si="35"/>
        <v>COMPUTADORA/MICROCOMPUTADORA</v>
      </c>
      <c r="G872" s="12" t="s">
        <v>19</v>
      </c>
      <c r="H872" s="12" t="s">
        <v>20</v>
      </c>
      <c r="I872" s="16">
        <v>1</v>
      </c>
      <c r="J872" s="12" t="s">
        <v>21</v>
      </c>
      <c r="K872" s="12" t="s">
        <v>22</v>
      </c>
      <c r="L872" s="13">
        <v>35</v>
      </c>
    </row>
    <row r="873" spans="1:12" s="10" customFormat="1" ht="18" x14ac:dyDescent="0.25">
      <c r="A873" s="11">
        <v>869</v>
      </c>
      <c r="B873" s="12" t="s">
        <v>525</v>
      </c>
      <c r="C873" s="12" t="str">
        <f t="shared" si="34"/>
        <v>140502</v>
      </c>
      <c r="D873" s="12" t="str">
        <f>"14.140502/2024.01432/BC.I."</f>
        <v>14.140502/2024.01432/BC.I.</v>
      </c>
      <c r="E873" s="12" t="str">
        <f>"201080026940"</f>
        <v>201080026940</v>
      </c>
      <c r="F873" s="12" t="str">
        <f t="shared" si="35"/>
        <v>COMPUTADORA/MICROCOMPUTADORA</v>
      </c>
      <c r="G873" s="12" t="s">
        <v>19</v>
      </c>
      <c r="H873" s="12" t="s">
        <v>20</v>
      </c>
      <c r="I873" s="16">
        <v>1</v>
      </c>
      <c r="J873" s="12" t="s">
        <v>21</v>
      </c>
      <c r="K873" s="12" t="s">
        <v>22</v>
      </c>
      <c r="L873" s="13">
        <v>35</v>
      </c>
    </row>
    <row r="874" spans="1:12" s="10" customFormat="1" ht="18" x14ac:dyDescent="0.25">
      <c r="A874" s="11">
        <v>870</v>
      </c>
      <c r="B874" s="12" t="s">
        <v>525</v>
      </c>
      <c r="C874" s="12" t="str">
        <f t="shared" si="34"/>
        <v>140502</v>
      </c>
      <c r="D874" s="12" t="str">
        <f>"14.140502/2024.01386/BC.I."</f>
        <v>14.140502/2024.01386/BC.I.</v>
      </c>
      <c r="E874" s="12" t="str">
        <f>"201080026942"</f>
        <v>201080026942</v>
      </c>
      <c r="F874" s="12" t="str">
        <f t="shared" si="35"/>
        <v>COMPUTADORA/MICROCOMPUTADORA</v>
      </c>
      <c r="G874" s="12" t="s">
        <v>19</v>
      </c>
      <c r="H874" s="12" t="s">
        <v>20</v>
      </c>
      <c r="I874" s="16">
        <v>1</v>
      </c>
      <c r="J874" s="12" t="s">
        <v>21</v>
      </c>
      <c r="K874" s="12" t="s">
        <v>22</v>
      </c>
      <c r="L874" s="13">
        <v>35</v>
      </c>
    </row>
    <row r="875" spans="1:12" s="10" customFormat="1" ht="18" x14ac:dyDescent="0.25">
      <c r="A875" s="11">
        <v>871</v>
      </c>
      <c r="B875" s="12" t="s">
        <v>525</v>
      </c>
      <c r="C875" s="12" t="str">
        <f t="shared" si="34"/>
        <v>140502</v>
      </c>
      <c r="D875" s="12" t="str">
        <f>"14.140502/2024.01425/BC.I."</f>
        <v>14.140502/2024.01425/BC.I.</v>
      </c>
      <c r="E875" s="12" t="str">
        <f>"201080026945"</f>
        <v>201080026945</v>
      </c>
      <c r="F875" s="12" t="str">
        <f t="shared" si="35"/>
        <v>COMPUTADORA/MICROCOMPUTADORA</v>
      </c>
      <c r="G875" s="12" t="s">
        <v>19</v>
      </c>
      <c r="H875" s="12" t="s">
        <v>20</v>
      </c>
      <c r="I875" s="16">
        <v>1</v>
      </c>
      <c r="J875" s="12" t="s">
        <v>21</v>
      </c>
      <c r="K875" s="12" t="s">
        <v>22</v>
      </c>
      <c r="L875" s="13">
        <v>35</v>
      </c>
    </row>
    <row r="876" spans="1:12" s="10" customFormat="1" ht="18" x14ac:dyDescent="0.25">
      <c r="A876" s="11">
        <v>872</v>
      </c>
      <c r="B876" s="12" t="s">
        <v>525</v>
      </c>
      <c r="C876" s="12" t="str">
        <f t="shared" si="34"/>
        <v>140502</v>
      </c>
      <c r="D876" s="12" t="str">
        <f>"14.140502/2024.01506/BC.I."</f>
        <v>14.140502/2024.01506/BC.I.</v>
      </c>
      <c r="E876" s="12" t="str">
        <f>"201080026947"</f>
        <v>201080026947</v>
      </c>
      <c r="F876" s="12" t="str">
        <f t="shared" si="35"/>
        <v>COMPUTADORA/MICROCOMPUTADORA</v>
      </c>
      <c r="G876" s="12" t="s">
        <v>19</v>
      </c>
      <c r="H876" s="12" t="s">
        <v>20</v>
      </c>
      <c r="I876" s="16">
        <v>1</v>
      </c>
      <c r="J876" s="12" t="s">
        <v>21</v>
      </c>
      <c r="K876" s="12" t="s">
        <v>22</v>
      </c>
      <c r="L876" s="13">
        <v>35</v>
      </c>
    </row>
    <row r="877" spans="1:12" s="10" customFormat="1" ht="18" x14ac:dyDescent="0.25">
      <c r="A877" s="11">
        <v>873</v>
      </c>
      <c r="B877" s="12" t="s">
        <v>525</v>
      </c>
      <c r="C877" s="12" t="str">
        <f t="shared" si="34"/>
        <v>140502</v>
      </c>
      <c r="D877" s="12" t="str">
        <f>"14.140502/2024.01423/BC.I."</f>
        <v>14.140502/2024.01423/BC.I.</v>
      </c>
      <c r="E877" s="12" t="str">
        <f>"201080026948"</f>
        <v>201080026948</v>
      </c>
      <c r="F877" s="12" t="str">
        <f t="shared" si="35"/>
        <v>COMPUTADORA/MICROCOMPUTADORA</v>
      </c>
      <c r="G877" s="12" t="s">
        <v>19</v>
      </c>
      <c r="H877" s="12" t="s">
        <v>20</v>
      </c>
      <c r="I877" s="16">
        <v>1</v>
      </c>
      <c r="J877" s="12" t="s">
        <v>21</v>
      </c>
      <c r="K877" s="12" t="s">
        <v>22</v>
      </c>
      <c r="L877" s="13">
        <v>35</v>
      </c>
    </row>
    <row r="878" spans="1:12" s="10" customFormat="1" ht="18" x14ac:dyDescent="0.25">
      <c r="A878" s="11">
        <v>874</v>
      </c>
      <c r="B878" s="12" t="s">
        <v>525</v>
      </c>
      <c r="C878" s="12" t="str">
        <f t="shared" si="34"/>
        <v>140502</v>
      </c>
      <c r="D878" s="12" t="str">
        <f>"14.140502/2024.01365/BC.I."</f>
        <v>14.140502/2024.01365/BC.I.</v>
      </c>
      <c r="E878" s="12" t="str">
        <f>"201080027150"</f>
        <v>201080027150</v>
      </c>
      <c r="F878" s="12" t="str">
        <f t="shared" si="35"/>
        <v>COMPUTADORA/MICROCOMPUTADORA</v>
      </c>
      <c r="G878" s="12" t="s">
        <v>19</v>
      </c>
      <c r="H878" s="12" t="s">
        <v>20</v>
      </c>
      <c r="I878" s="16">
        <v>1</v>
      </c>
      <c r="J878" s="12" t="s">
        <v>21</v>
      </c>
      <c r="K878" s="12" t="s">
        <v>22</v>
      </c>
      <c r="L878" s="13">
        <v>35</v>
      </c>
    </row>
    <row r="879" spans="1:12" s="10" customFormat="1" ht="18" x14ac:dyDescent="0.25">
      <c r="A879" s="11">
        <v>875</v>
      </c>
      <c r="B879" s="12" t="s">
        <v>525</v>
      </c>
      <c r="C879" s="12" t="str">
        <f t="shared" si="34"/>
        <v>140502</v>
      </c>
      <c r="D879" s="12" t="str">
        <f>"14.140502/2024.01512/BC.I."</f>
        <v>14.140502/2024.01512/BC.I.</v>
      </c>
      <c r="E879" s="12" t="str">
        <f>"201080027153"</f>
        <v>201080027153</v>
      </c>
      <c r="F879" s="12" t="str">
        <f t="shared" si="35"/>
        <v>COMPUTADORA/MICROCOMPUTADORA</v>
      </c>
      <c r="G879" s="12" t="s">
        <v>19</v>
      </c>
      <c r="H879" s="12" t="s">
        <v>20</v>
      </c>
      <c r="I879" s="16">
        <v>1</v>
      </c>
      <c r="J879" s="12" t="s">
        <v>21</v>
      </c>
      <c r="K879" s="12" t="s">
        <v>22</v>
      </c>
      <c r="L879" s="13">
        <v>35</v>
      </c>
    </row>
    <row r="880" spans="1:12" s="10" customFormat="1" ht="18" x14ac:dyDescent="0.25">
      <c r="A880" s="11">
        <v>876</v>
      </c>
      <c r="B880" s="12" t="s">
        <v>525</v>
      </c>
      <c r="C880" s="12" t="str">
        <f t="shared" si="34"/>
        <v>140502</v>
      </c>
      <c r="D880" s="12" t="str">
        <f>"14.140502/2024.01449/BC.I."</f>
        <v>14.140502/2024.01449/BC.I.</v>
      </c>
      <c r="E880" s="12" t="str">
        <f>"201080027157"</f>
        <v>201080027157</v>
      </c>
      <c r="F880" s="12" t="str">
        <f t="shared" si="35"/>
        <v>COMPUTADORA/MICROCOMPUTADORA</v>
      </c>
      <c r="G880" s="12" t="s">
        <v>19</v>
      </c>
      <c r="H880" s="12" t="s">
        <v>20</v>
      </c>
      <c r="I880" s="16">
        <v>1</v>
      </c>
      <c r="J880" s="12" t="s">
        <v>21</v>
      </c>
      <c r="K880" s="12" t="s">
        <v>22</v>
      </c>
      <c r="L880" s="13">
        <v>35</v>
      </c>
    </row>
    <row r="881" spans="1:12" s="10" customFormat="1" ht="18" x14ac:dyDescent="0.25">
      <c r="A881" s="11">
        <v>877</v>
      </c>
      <c r="B881" s="12" t="s">
        <v>525</v>
      </c>
      <c r="C881" s="12" t="str">
        <f t="shared" si="34"/>
        <v>140502</v>
      </c>
      <c r="D881" s="12" t="str">
        <f>"14.140502/2024.01353/BC.I."</f>
        <v>14.140502/2024.01353/BC.I.</v>
      </c>
      <c r="E881" s="12" t="str">
        <f>"201080027159"</f>
        <v>201080027159</v>
      </c>
      <c r="F881" s="12" t="str">
        <f t="shared" si="35"/>
        <v>COMPUTADORA/MICROCOMPUTADORA</v>
      </c>
      <c r="G881" s="12" t="s">
        <v>19</v>
      </c>
      <c r="H881" s="12" t="s">
        <v>20</v>
      </c>
      <c r="I881" s="16">
        <v>1</v>
      </c>
      <c r="J881" s="12" t="s">
        <v>21</v>
      </c>
      <c r="K881" s="12" t="s">
        <v>22</v>
      </c>
      <c r="L881" s="13">
        <v>35</v>
      </c>
    </row>
    <row r="882" spans="1:12" s="10" customFormat="1" ht="18" x14ac:dyDescent="0.25">
      <c r="A882" s="11">
        <v>878</v>
      </c>
      <c r="B882" s="12" t="s">
        <v>525</v>
      </c>
      <c r="C882" s="12" t="str">
        <f t="shared" si="34"/>
        <v>140502</v>
      </c>
      <c r="D882" s="12" t="str">
        <f>"14.140502/2024.01359/BC.I."</f>
        <v>14.140502/2024.01359/BC.I.</v>
      </c>
      <c r="E882" s="12" t="str">
        <f>"201080027161"</f>
        <v>201080027161</v>
      </c>
      <c r="F882" s="12" t="str">
        <f t="shared" si="35"/>
        <v>COMPUTADORA/MICROCOMPUTADORA</v>
      </c>
      <c r="G882" s="12" t="s">
        <v>19</v>
      </c>
      <c r="H882" s="12" t="s">
        <v>20</v>
      </c>
      <c r="I882" s="16">
        <v>1</v>
      </c>
      <c r="J882" s="12" t="s">
        <v>21</v>
      </c>
      <c r="K882" s="12" t="s">
        <v>22</v>
      </c>
      <c r="L882" s="13">
        <v>35</v>
      </c>
    </row>
    <row r="883" spans="1:12" s="10" customFormat="1" ht="18" x14ac:dyDescent="0.25">
      <c r="A883" s="11">
        <v>879</v>
      </c>
      <c r="B883" s="12" t="s">
        <v>525</v>
      </c>
      <c r="C883" s="12" t="str">
        <f t="shared" si="34"/>
        <v>140502</v>
      </c>
      <c r="D883" s="12" t="str">
        <f>"14.140502/2024.01387/BC.I."</f>
        <v>14.140502/2024.01387/BC.I.</v>
      </c>
      <c r="E883" s="12" t="str">
        <f>"201080027165"</f>
        <v>201080027165</v>
      </c>
      <c r="F883" s="12" t="str">
        <f t="shared" si="35"/>
        <v>COMPUTADORA/MICROCOMPUTADORA</v>
      </c>
      <c r="G883" s="12" t="s">
        <v>19</v>
      </c>
      <c r="H883" s="12" t="s">
        <v>20</v>
      </c>
      <c r="I883" s="16">
        <v>1</v>
      </c>
      <c r="J883" s="12" t="s">
        <v>21</v>
      </c>
      <c r="K883" s="12" t="s">
        <v>22</v>
      </c>
      <c r="L883" s="13">
        <v>35</v>
      </c>
    </row>
    <row r="884" spans="1:12" s="10" customFormat="1" ht="18" x14ac:dyDescent="0.25">
      <c r="A884" s="11">
        <v>880</v>
      </c>
      <c r="B884" s="12" t="s">
        <v>525</v>
      </c>
      <c r="C884" s="12" t="str">
        <f t="shared" si="34"/>
        <v>140502</v>
      </c>
      <c r="D884" s="12" t="str">
        <f>"14.140502/2024.01402/BC.I."</f>
        <v>14.140502/2024.01402/BC.I.</v>
      </c>
      <c r="E884" s="12" t="str">
        <f>"201080027168"</f>
        <v>201080027168</v>
      </c>
      <c r="F884" s="12" t="str">
        <f t="shared" si="35"/>
        <v>COMPUTADORA/MICROCOMPUTADORA</v>
      </c>
      <c r="G884" s="12" t="s">
        <v>19</v>
      </c>
      <c r="H884" s="12" t="s">
        <v>20</v>
      </c>
      <c r="I884" s="16">
        <v>1</v>
      </c>
      <c r="J884" s="12" t="s">
        <v>21</v>
      </c>
      <c r="K884" s="12" t="s">
        <v>22</v>
      </c>
      <c r="L884" s="13">
        <v>35</v>
      </c>
    </row>
    <row r="885" spans="1:12" s="10" customFormat="1" ht="18" x14ac:dyDescent="0.25">
      <c r="A885" s="11">
        <v>881</v>
      </c>
      <c r="B885" s="12" t="s">
        <v>525</v>
      </c>
      <c r="C885" s="12" t="str">
        <f t="shared" si="34"/>
        <v>140502</v>
      </c>
      <c r="D885" s="12" t="str">
        <f>"14.140502/2024.01396/BC.I."</f>
        <v>14.140502/2024.01396/BC.I.</v>
      </c>
      <c r="E885" s="12" t="str">
        <f>"201080027172"</f>
        <v>201080027172</v>
      </c>
      <c r="F885" s="12" t="str">
        <f t="shared" si="35"/>
        <v>COMPUTADORA/MICROCOMPUTADORA</v>
      </c>
      <c r="G885" s="12" t="s">
        <v>19</v>
      </c>
      <c r="H885" s="12" t="s">
        <v>20</v>
      </c>
      <c r="I885" s="16">
        <v>1</v>
      </c>
      <c r="J885" s="12" t="s">
        <v>21</v>
      </c>
      <c r="K885" s="12" t="s">
        <v>22</v>
      </c>
      <c r="L885" s="13">
        <v>35</v>
      </c>
    </row>
    <row r="886" spans="1:12" s="10" customFormat="1" ht="18" x14ac:dyDescent="0.25">
      <c r="A886" s="11">
        <v>882</v>
      </c>
      <c r="B886" s="12" t="s">
        <v>525</v>
      </c>
      <c r="C886" s="12" t="str">
        <f t="shared" si="34"/>
        <v>140502</v>
      </c>
      <c r="D886" s="12" t="str">
        <f>"14.140502/2024.01456/BC.I."</f>
        <v>14.140502/2024.01456/BC.I.</v>
      </c>
      <c r="E886" s="12" t="str">
        <f>"201080027173"</f>
        <v>201080027173</v>
      </c>
      <c r="F886" s="12" t="str">
        <f t="shared" si="35"/>
        <v>COMPUTADORA/MICROCOMPUTADORA</v>
      </c>
      <c r="G886" s="12" t="s">
        <v>19</v>
      </c>
      <c r="H886" s="12" t="s">
        <v>20</v>
      </c>
      <c r="I886" s="16">
        <v>1</v>
      </c>
      <c r="J886" s="12" t="s">
        <v>21</v>
      </c>
      <c r="K886" s="12" t="s">
        <v>22</v>
      </c>
      <c r="L886" s="13">
        <v>35</v>
      </c>
    </row>
    <row r="887" spans="1:12" s="10" customFormat="1" ht="18" x14ac:dyDescent="0.25">
      <c r="A887" s="11">
        <v>883</v>
      </c>
      <c r="B887" s="12" t="s">
        <v>525</v>
      </c>
      <c r="C887" s="12" t="str">
        <f t="shared" si="34"/>
        <v>140502</v>
      </c>
      <c r="D887" s="12" t="str">
        <f>"14.140502/2024.01369/BC.I."</f>
        <v>14.140502/2024.01369/BC.I.</v>
      </c>
      <c r="E887" s="12" t="str">
        <f>"201080027177"</f>
        <v>201080027177</v>
      </c>
      <c r="F887" s="12" t="str">
        <f t="shared" si="35"/>
        <v>COMPUTADORA/MICROCOMPUTADORA</v>
      </c>
      <c r="G887" s="12" t="s">
        <v>19</v>
      </c>
      <c r="H887" s="12" t="s">
        <v>20</v>
      </c>
      <c r="I887" s="16">
        <v>1</v>
      </c>
      <c r="J887" s="12" t="s">
        <v>21</v>
      </c>
      <c r="K887" s="12" t="s">
        <v>22</v>
      </c>
      <c r="L887" s="13">
        <v>35</v>
      </c>
    </row>
    <row r="888" spans="1:12" s="10" customFormat="1" ht="18" x14ac:dyDescent="0.25">
      <c r="A888" s="11">
        <v>884</v>
      </c>
      <c r="B888" s="12" t="s">
        <v>525</v>
      </c>
      <c r="C888" s="12" t="str">
        <f t="shared" si="34"/>
        <v>140502</v>
      </c>
      <c r="D888" s="12" t="str">
        <f>"14.140502/2024.01439/BC.I."</f>
        <v>14.140502/2024.01439/BC.I.</v>
      </c>
      <c r="E888" s="12" t="str">
        <f>"201080027180"</f>
        <v>201080027180</v>
      </c>
      <c r="F888" s="12" t="str">
        <f t="shared" si="35"/>
        <v>COMPUTADORA/MICROCOMPUTADORA</v>
      </c>
      <c r="G888" s="12" t="s">
        <v>19</v>
      </c>
      <c r="H888" s="12" t="s">
        <v>20</v>
      </c>
      <c r="I888" s="16">
        <v>1</v>
      </c>
      <c r="J888" s="12" t="s">
        <v>21</v>
      </c>
      <c r="K888" s="12" t="s">
        <v>22</v>
      </c>
      <c r="L888" s="13">
        <v>35</v>
      </c>
    </row>
    <row r="889" spans="1:12" s="10" customFormat="1" ht="18" x14ac:dyDescent="0.25">
      <c r="A889" s="11">
        <v>885</v>
      </c>
      <c r="B889" s="12" t="s">
        <v>525</v>
      </c>
      <c r="C889" s="12" t="str">
        <f t="shared" ref="C889:C952" si="36">"140502"</f>
        <v>140502</v>
      </c>
      <c r="D889" s="12" t="str">
        <f>"14.140502/2024.01452/BC.I."</f>
        <v>14.140502/2024.01452/BC.I.</v>
      </c>
      <c r="E889" s="12" t="str">
        <f>"201080027181"</f>
        <v>201080027181</v>
      </c>
      <c r="F889" s="12" t="str">
        <f t="shared" si="35"/>
        <v>COMPUTADORA/MICROCOMPUTADORA</v>
      </c>
      <c r="G889" s="12" t="s">
        <v>19</v>
      </c>
      <c r="H889" s="12" t="s">
        <v>20</v>
      </c>
      <c r="I889" s="16">
        <v>1</v>
      </c>
      <c r="J889" s="12" t="s">
        <v>21</v>
      </c>
      <c r="K889" s="12" t="s">
        <v>22</v>
      </c>
      <c r="L889" s="13">
        <v>35</v>
      </c>
    </row>
    <row r="890" spans="1:12" s="10" customFormat="1" ht="18" x14ac:dyDescent="0.25">
      <c r="A890" s="11">
        <v>886</v>
      </c>
      <c r="B890" s="12" t="s">
        <v>525</v>
      </c>
      <c r="C890" s="12" t="str">
        <f t="shared" si="36"/>
        <v>140502</v>
      </c>
      <c r="D890" s="12" t="str">
        <f>"14.140502/2024.01382/BC.I."</f>
        <v>14.140502/2024.01382/BC.I.</v>
      </c>
      <c r="E890" s="12" t="str">
        <f>"201080027185"</f>
        <v>201080027185</v>
      </c>
      <c r="F890" s="12" t="str">
        <f t="shared" si="35"/>
        <v>COMPUTADORA/MICROCOMPUTADORA</v>
      </c>
      <c r="G890" s="12" t="s">
        <v>19</v>
      </c>
      <c r="H890" s="12" t="s">
        <v>20</v>
      </c>
      <c r="I890" s="16">
        <v>1</v>
      </c>
      <c r="J890" s="12" t="s">
        <v>21</v>
      </c>
      <c r="K890" s="12" t="s">
        <v>22</v>
      </c>
      <c r="L890" s="13">
        <v>35</v>
      </c>
    </row>
    <row r="891" spans="1:12" s="10" customFormat="1" ht="18" x14ac:dyDescent="0.25">
      <c r="A891" s="11">
        <v>887</v>
      </c>
      <c r="B891" s="12" t="s">
        <v>525</v>
      </c>
      <c r="C891" s="12" t="str">
        <f t="shared" si="36"/>
        <v>140502</v>
      </c>
      <c r="D891" s="12" t="str">
        <f>"14.140502/2024.01349/BC.I."</f>
        <v>14.140502/2024.01349/BC.I.</v>
      </c>
      <c r="E891" s="12" t="str">
        <f>"201080027351"</f>
        <v>201080027351</v>
      </c>
      <c r="F891" s="12" t="str">
        <f t="shared" si="35"/>
        <v>COMPUTADORA/MICROCOMPUTADORA</v>
      </c>
      <c r="G891" s="12" t="s">
        <v>19</v>
      </c>
      <c r="H891" s="12" t="s">
        <v>20</v>
      </c>
      <c r="I891" s="16">
        <v>1</v>
      </c>
      <c r="J891" s="12" t="s">
        <v>21</v>
      </c>
      <c r="K891" s="12" t="s">
        <v>22</v>
      </c>
      <c r="L891" s="13">
        <v>35</v>
      </c>
    </row>
    <row r="892" spans="1:12" s="10" customFormat="1" ht="18" x14ac:dyDescent="0.25">
      <c r="A892" s="11">
        <v>888</v>
      </c>
      <c r="B892" s="12" t="s">
        <v>525</v>
      </c>
      <c r="C892" s="12" t="str">
        <f t="shared" si="36"/>
        <v>140502</v>
      </c>
      <c r="D892" s="12" t="str">
        <f>"14.140502/2024.01354/BC.I."</f>
        <v>14.140502/2024.01354/BC.I.</v>
      </c>
      <c r="E892" s="12" t="str">
        <f>"201080027356"</f>
        <v>201080027356</v>
      </c>
      <c r="F892" s="12" t="str">
        <f t="shared" si="35"/>
        <v>COMPUTADORA/MICROCOMPUTADORA</v>
      </c>
      <c r="G892" s="12" t="s">
        <v>19</v>
      </c>
      <c r="H892" s="12" t="s">
        <v>20</v>
      </c>
      <c r="I892" s="16">
        <v>1</v>
      </c>
      <c r="J892" s="12" t="s">
        <v>21</v>
      </c>
      <c r="K892" s="12" t="s">
        <v>22</v>
      </c>
      <c r="L892" s="13">
        <v>35</v>
      </c>
    </row>
    <row r="893" spans="1:12" s="10" customFormat="1" ht="18" x14ac:dyDescent="0.25">
      <c r="A893" s="11">
        <v>889</v>
      </c>
      <c r="B893" s="12" t="s">
        <v>525</v>
      </c>
      <c r="C893" s="12" t="str">
        <f t="shared" si="36"/>
        <v>140502</v>
      </c>
      <c r="D893" s="12" t="str">
        <f>"14.140502/2024.01499/BC.I."</f>
        <v>14.140502/2024.01499/BC.I.</v>
      </c>
      <c r="E893" s="12" t="str">
        <f>"201080027360"</f>
        <v>201080027360</v>
      </c>
      <c r="F893" s="12" t="str">
        <f t="shared" ref="F893:F944" si="37">"COMPUTADORA/MICROCOMPUTADORA"</f>
        <v>COMPUTADORA/MICROCOMPUTADORA</v>
      </c>
      <c r="G893" s="12" t="s">
        <v>19</v>
      </c>
      <c r="H893" s="12" t="s">
        <v>20</v>
      </c>
      <c r="I893" s="16">
        <v>1</v>
      </c>
      <c r="J893" s="12" t="s">
        <v>21</v>
      </c>
      <c r="K893" s="12" t="s">
        <v>22</v>
      </c>
      <c r="L893" s="13">
        <v>35</v>
      </c>
    </row>
    <row r="894" spans="1:12" s="10" customFormat="1" ht="18" x14ac:dyDescent="0.25">
      <c r="A894" s="11">
        <v>890</v>
      </c>
      <c r="B894" s="12" t="s">
        <v>525</v>
      </c>
      <c r="C894" s="12" t="str">
        <f t="shared" si="36"/>
        <v>140502</v>
      </c>
      <c r="D894" s="12" t="str">
        <f>"14.140502/2024.01393/BC.I."</f>
        <v>14.140502/2024.01393/BC.I.</v>
      </c>
      <c r="E894" s="12" t="str">
        <f>"201080027363"</f>
        <v>201080027363</v>
      </c>
      <c r="F894" s="12" t="str">
        <f t="shared" si="37"/>
        <v>COMPUTADORA/MICROCOMPUTADORA</v>
      </c>
      <c r="G894" s="12" t="s">
        <v>19</v>
      </c>
      <c r="H894" s="12" t="s">
        <v>20</v>
      </c>
      <c r="I894" s="16">
        <v>1</v>
      </c>
      <c r="J894" s="12" t="s">
        <v>21</v>
      </c>
      <c r="K894" s="12" t="s">
        <v>22</v>
      </c>
      <c r="L894" s="13">
        <v>35</v>
      </c>
    </row>
    <row r="895" spans="1:12" s="10" customFormat="1" ht="18" x14ac:dyDescent="0.25">
      <c r="A895" s="11">
        <v>891</v>
      </c>
      <c r="B895" s="12" t="s">
        <v>525</v>
      </c>
      <c r="C895" s="12" t="str">
        <f t="shared" si="36"/>
        <v>140502</v>
      </c>
      <c r="D895" s="12" t="str">
        <f>"14.140502/2024.01473/BC.I."</f>
        <v>14.140502/2024.01473/BC.I.</v>
      </c>
      <c r="E895" s="12" t="str">
        <f>"201080027364"</f>
        <v>201080027364</v>
      </c>
      <c r="F895" s="12" t="str">
        <f t="shared" si="37"/>
        <v>COMPUTADORA/MICROCOMPUTADORA</v>
      </c>
      <c r="G895" s="12" t="s">
        <v>19</v>
      </c>
      <c r="H895" s="12" t="s">
        <v>20</v>
      </c>
      <c r="I895" s="16">
        <v>1</v>
      </c>
      <c r="J895" s="12" t="s">
        <v>21</v>
      </c>
      <c r="K895" s="12" t="s">
        <v>22</v>
      </c>
      <c r="L895" s="13">
        <v>35</v>
      </c>
    </row>
    <row r="896" spans="1:12" s="10" customFormat="1" ht="18" x14ac:dyDescent="0.25">
      <c r="A896" s="11">
        <v>892</v>
      </c>
      <c r="B896" s="12" t="s">
        <v>525</v>
      </c>
      <c r="C896" s="12" t="str">
        <f t="shared" si="36"/>
        <v>140502</v>
      </c>
      <c r="D896" s="12" t="str">
        <f>"14.140502/2024.01377/BC.I."</f>
        <v>14.140502/2024.01377/BC.I.</v>
      </c>
      <c r="E896" s="12" t="str">
        <f>"201080027365"</f>
        <v>201080027365</v>
      </c>
      <c r="F896" s="12" t="str">
        <f t="shared" si="37"/>
        <v>COMPUTADORA/MICROCOMPUTADORA</v>
      </c>
      <c r="G896" s="12" t="s">
        <v>19</v>
      </c>
      <c r="H896" s="12" t="s">
        <v>20</v>
      </c>
      <c r="I896" s="16">
        <v>1</v>
      </c>
      <c r="J896" s="12" t="s">
        <v>21</v>
      </c>
      <c r="K896" s="12" t="s">
        <v>22</v>
      </c>
      <c r="L896" s="13">
        <v>35</v>
      </c>
    </row>
    <row r="897" spans="1:12" s="10" customFormat="1" ht="18" x14ac:dyDescent="0.25">
      <c r="A897" s="11">
        <v>893</v>
      </c>
      <c r="B897" s="12" t="s">
        <v>525</v>
      </c>
      <c r="C897" s="12" t="str">
        <f t="shared" si="36"/>
        <v>140502</v>
      </c>
      <c r="D897" s="12" t="str">
        <f>"14.140502/2024.01375/BC.I."</f>
        <v>14.140502/2024.01375/BC.I.</v>
      </c>
      <c r="E897" s="12" t="str">
        <f>"201080027366"</f>
        <v>201080027366</v>
      </c>
      <c r="F897" s="12" t="str">
        <f t="shared" si="37"/>
        <v>COMPUTADORA/MICROCOMPUTADORA</v>
      </c>
      <c r="G897" s="12" t="s">
        <v>19</v>
      </c>
      <c r="H897" s="12" t="s">
        <v>20</v>
      </c>
      <c r="I897" s="16">
        <v>1</v>
      </c>
      <c r="J897" s="12" t="s">
        <v>21</v>
      </c>
      <c r="K897" s="12" t="s">
        <v>22</v>
      </c>
      <c r="L897" s="13">
        <v>35</v>
      </c>
    </row>
    <row r="898" spans="1:12" s="10" customFormat="1" ht="18" x14ac:dyDescent="0.25">
      <c r="A898" s="11">
        <v>894</v>
      </c>
      <c r="B898" s="12" t="s">
        <v>525</v>
      </c>
      <c r="C898" s="12" t="str">
        <f t="shared" si="36"/>
        <v>140502</v>
      </c>
      <c r="D898" s="12" t="str">
        <f>"14.140502/2024.01507/BC.I."</f>
        <v>14.140502/2024.01507/BC.I.</v>
      </c>
      <c r="E898" s="12" t="str">
        <f>"201080027368"</f>
        <v>201080027368</v>
      </c>
      <c r="F898" s="12" t="str">
        <f t="shared" si="37"/>
        <v>COMPUTADORA/MICROCOMPUTADORA</v>
      </c>
      <c r="G898" s="12" t="s">
        <v>19</v>
      </c>
      <c r="H898" s="12" t="s">
        <v>20</v>
      </c>
      <c r="I898" s="16">
        <v>1</v>
      </c>
      <c r="J898" s="12" t="s">
        <v>21</v>
      </c>
      <c r="K898" s="12" t="s">
        <v>22</v>
      </c>
      <c r="L898" s="13">
        <v>35</v>
      </c>
    </row>
    <row r="899" spans="1:12" s="10" customFormat="1" ht="18" x14ac:dyDescent="0.25">
      <c r="A899" s="11">
        <v>895</v>
      </c>
      <c r="B899" s="12" t="s">
        <v>525</v>
      </c>
      <c r="C899" s="12" t="str">
        <f t="shared" si="36"/>
        <v>140502</v>
      </c>
      <c r="D899" s="12" t="str">
        <f>"14.140502/2024.01379/BC.I."</f>
        <v>14.140502/2024.01379/BC.I.</v>
      </c>
      <c r="E899" s="12" t="str">
        <f>"201080027369"</f>
        <v>201080027369</v>
      </c>
      <c r="F899" s="12" t="str">
        <f t="shared" si="37"/>
        <v>COMPUTADORA/MICROCOMPUTADORA</v>
      </c>
      <c r="G899" s="12" t="s">
        <v>19</v>
      </c>
      <c r="H899" s="12" t="s">
        <v>20</v>
      </c>
      <c r="I899" s="16">
        <v>1</v>
      </c>
      <c r="J899" s="12" t="s">
        <v>21</v>
      </c>
      <c r="K899" s="12" t="s">
        <v>22</v>
      </c>
      <c r="L899" s="13">
        <v>35</v>
      </c>
    </row>
    <row r="900" spans="1:12" s="10" customFormat="1" ht="18" x14ac:dyDescent="0.25">
      <c r="A900" s="11">
        <v>896</v>
      </c>
      <c r="B900" s="12" t="s">
        <v>525</v>
      </c>
      <c r="C900" s="12" t="str">
        <f t="shared" si="36"/>
        <v>140502</v>
      </c>
      <c r="D900" s="12" t="str">
        <f>"14.140502/2024.01431/BC.I."</f>
        <v>14.140502/2024.01431/BC.I.</v>
      </c>
      <c r="E900" s="12" t="str">
        <f>"201080027371"</f>
        <v>201080027371</v>
      </c>
      <c r="F900" s="12" t="str">
        <f t="shared" si="37"/>
        <v>COMPUTADORA/MICROCOMPUTADORA</v>
      </c>
      <c r="G900" s="12" t="s">
        <v>19</v>
      </c>
      <c r="H900" s="12" t="s">
        <v>20</v>
      </c>
      <c r="I900" s="16">
        <v>1</v>
      </c>
      <c r="J900" s="12" t="s">
        <v>21</v>
      </c>
      <c r="K900" s="12" t="s">
        <v>22</v>
      </c>
      <c r="L900" s="13">
        <v>35</v>
      </c>
    </row>
    <row r="901" spans="1:12" s="10" customFormat="1" ht="18" x14ac:dyDescent="0.25">
      <c r="A901" s="11">
        <v>897</v>
      </c>
      <c r="B901" s="12" t="s">
        <v>525</v>
      </c>
      <c r="C901" s="12" t="str">
        <f t="shared" si="36"/>
        <v>140502</v>
      </c>
      <c r="D901" s="12" t="str">
        <f>"14.140502/2024.01378/BC.I."</f>
        <v>14.140502/2024.01378/BC.I.</v>
      </c>
      <c r="E901" s="12" t="str">
        <f>"201080027373"</f>
        <v>201080027373</v>
      </c>
      <c r="F901" s="12" t="str">
        <f t="shared" si="37"/>
        <v>COMPUTADORA/MICROCOMPUTADORA</v>
      </c>
      <c r="G901" s="12" t="s">
        <v>19</v>
      </c>
      <c r="H901" s="12" t="s">
        <v>20</v>
      </c>
      <c r="I901" s="16">
        <v>1</v>
      </c>
      <c r="J901" s="12" t="s">
        <v>21</v>
      </c>
      <c r="K901" s="12" t="s">
        <v>22</v>
      </c>
      <c r="L901" s="13">
        <v>35</v>
      </c>
    </row>
    <row r="902" spans="1:12" s="10" customFormat="1" ht="18" x14ac:dyDescent="0.25">
      <c r="A902" s="11">
        <v>898</v>
      </c>
      <c r="B902" s="12" t="s">
        <v>525</v>
      </c>
      <c r="C902" s="12" t="str">
        <f t="shared" si="36"/>
        <v>140502</v>
      </c>
      <c r="D902" s="12" t="str">
        <f>"14.140502/2024.01429/BC.I."</f>
        <v>14.140502/2024.01429/BC.I.</v>
      </c>
      <c r="E902" s="12" t="str">
        <f>"201080027377"</f>
        <v>201080027377</v>
      </c>
      <c r="F902" s="12" t="str">
        <f t="shared" si="37"/>
        <v>COMPUTADORA/MICROCOMPUTADORA</v>
      </c>
      <c r="G902" s="12" t="s">
        <v>19</v>
      </c>
      <c r="H902" s="12" t="s">
        <v>20</v>
      </c>
      <c r="I902" s="16">
        <v>1</v>
      </c>
      <c r="J902" s="12" t="s">
        <v>21</v>
      </c>
      <c r="K902" s="12" t="s">
        <v>22</v>
      </c>
      <c r="L902" s="13">
        <v>35</v>
      </c>
    </row>
    <row r="903" spans="1:12" s="10" customFormat="1" ht="18" x14ac:dyDescent="0.25">
      <c r="A903" s="11">
        <v>899</v>
      </c>
      <c r="B903" s="12" t="s">
        <v>525</v>
      </c>
      <c r="C903" s="12" t="str">
        <f t="shared" si="36"/>
        <v>140502</v>
      </c>
      <c r="D903" s="12" t="str">
        <f>"14.140502/2024.01344/BC.I."</f>
        <v>14.140502/2024.01344/BC.I.</v>
      </c>
      <c r="E903" s="12" t="str">
        <f>"201080027382"</f>
        <v>201080027382</v>
      </c>
      <c r="F903" s="12" t="str">
        <f t="shared" si="37"/>
        <v>COMPUTADORA/MICROCOMPUTADORA</v>
      </c>
      <c r="G903" s="12" t="s">
        <v>19</v>
      </c>
      <c r="H903" s="12" t="s">
        <v>20</v>
      </c>
      <c r="I903" s="16">
        <v>1</v>
      </c>
      <c r="J903" s="12" t="s">
        <v>21</v>
      </c>
      <c r="K903" s="12" t="s">
        <v>22</v>
      </c>
      <c r="L903" s="13">
        <v>35</v>
      </c>
    </row>
    <row r="904" spans="1:12" s="10" customFormat="1" ht="18" x14ac:dyDescent="0.25">
      <c r="A904" s="11">
        <v>900</v>
      </c>
      <c r="B904" s="12" t="s">
        <v>525</v>
      </c>
      <c r="C904" s="12" t="str">
        <f t="shared" si="36"/>
        <v>140502</v>
      </c>
      <c r="D904" s="12" t="str">
        <f>"14.140502/2024.01394/BC.I."</f>
        <v>14.140502/2024.01394/BC.I.</v>
      </c>
      <c r="E904" s="12" t="str">
        <f>"201080027384"</f>
        <v>201080027384</v>
      </c>
      <c r="F904" s="12" t="str">
        <f t="shared" si="37"/>
        <v>COMPUTADORA/MICROCOMPUTADORA</v>
      </c>
      <c r="G904" s="12" t="s">
        <v>19</v>
      </c>
      <c r="H904" s="12" t="s">
        <v>20</v>
      </c>
      <c r="I904" s="16">
        <v>1</v>
      </c>
      <c r="J904" s="12" t="s">
        <v>21</v>
      </c>
      <c r="K904" s="12" t="s">
        <v>22</v>
      </c>
      <c r="L904" s="13">
        <v>35</v>
      </c>
    </row>
    <row r="905" spans="1:12" s="10" customFormat="1" ht="18" x14ac:dyDescent="0.25">
      <c r="A905" s="11">
        <v>901</v>
      </c>
      <c r="B905" s="12" t="s">
        <v>525</v>
      </c>
      <c r="C905" s="12" t="str">
        <f t="shared" si="36"/>
        <v>140502</v>
      </c>
      <c r="D905" s="12" t="str">
        <f>"14.140502/2024.01383/BC.I."</f>
        <v>14.140502/2024.01383/BC.I.</v>
      </c>
      <c r="E905" s="12" t="str">
        <f>"201080027385"</f>
        <v>201080027385</v>
      </c>
      <c r="F905" s="12" t="str">
        <f t="shared" si="37"/>
        <v>COMPUTADORA/MICROCOMPUTADORA</v>
      </c>
      <c r="G905" s="12" t="s">
        <v>19</v>
      </c>
      <c r="H905" s="12" t="s">
        <v>20</v>
      </c>
      <c r="I905" s="16">
        <v>1</v>
      </c>
      <c r="J905" s="12" t="s">
        <v>21</v>
      </c>
      <c r="K905" s="12" t="s">
        <v>22</v>
      </c>
      <c r="L905" s="13">
        <v>35</v>
      </c>
    </row>
    <row r="906" spans="1:12" s="10" customFormat="1" ht="18" x14ac:dyDescent="0.25">
      <c r="A906" s="11">
        <v>902</v>
      </c>
      <c r="B906" s="12" t="s">
        <v>525</v>
      </c>
      <c r="C906" s="12" t="str">
        <f t="shared" si="36"/>
        <v>140502</v>
      </c>
      <c r="D906" s="12" t="str">
        <f>"14.140502/2024.01348/BC.I."</f>
        <v>14.140502/2024.01348/BC.I.</v>
      </c>
      <c r="E906" s="12" t="str">
        <f>"201080027386"</f>
        <v>201080027386</v>
      </c>
      <c r="F906" s="12" t="str">
        <f t="shared" si="37"/>
        <v>COMPUTADORA/MICROCOMPUTADORA</v>
      </c>
      <c r="G906" s="12" t="s">
        <v>19</v>
      </c>
      <c r="H906" s="12" t="s">
        <v>20</v>
      </c>
      <c r="I906" s="16">
        <v>1</v>
      </c>
      <c r="J906" s="12" t="s">
        <v>21</v>
      </c>
      <c r="K906" s="12" t="s">
        <v>22</v>
      </c>
      <c r="L906" s="13">
        <v>35</v>
      </c>
    </row>
    <row r="907" spans="1:12" s="10" customFormat="1" ht="18" x14ac:dyDescent="0.25">
      <c r="A907" s="11">
        <v>903</v>
      </c>
      <c r="B907" s="12" t="s">
        <v>525</v>
      </c>
      <c r="C907" s="12" t="str">
        <f t="shared" si="36"/>
        <v>140502</v>
      </c>
      <c r="D907" s="12" t="str">
        <f>"14.140502/2024.01410/BC.I."</f>
        <v>14.140502/2024.01410/BC.I.</v>
      </c>
      <c r="E907" s="12" t="str">
        <f>"201080027470"</f>
        <v>201080027470</v>
      </c>
      <c r="F907" s="12" t="str">
        <f t="shared" si="37"/>
        <v>COMPUTADORA/MICROCOMPUTADORA</v>
      </c>
      <c r="G907" s="12" t="s">
        <v>19</v>
      </c>
      <c r="H907" s="12" t="s">
        <v>20</v>
      </c>
      <c r="I907" s="16">
        <v>1</v>
      </c>
      <c r="J907" s="12" t="s">
        <v>21</v>
      </c>
      <c r="K907" s="12" t="s">
        <v>22</v>
      </c>
      <c r="L907" s="13">
        <v>35</v>
      </c>
    </row>
    <row r="908" spans="1:12" s="10" customFormat="1" ht="18" x14ac:dyDescent="0.25">
      <c r="A908" s="11">
        <v>904</v>
      </c>
      <c r="B908" s="12" t="s">
        <v>525</v>
      </c>
      <c r="C908" s="12" t="str">
        <f t="shared" si="36"/>
        <v>140502</v>
      </c>
      <c r="D908" s="12" t="str">
        <f>"14.140502/2024.01363/BC.I."</f>
        <v>14.140502/2024.01363/BC.I.</v>
      </c>
      <c r="E908" s="12" t="str">
        <f>"201080027475"</f>
        <v>201080027475</v>
      </c>
      <c r="F908" s="12" t="str">
        <f t="shared" si="37"/>
        <v>COMPUTADORA/MICROCOMPUTADORA</v>
      </c>
      <c r="G908" s="12" t="s">
        <v>19</v>
      </c>
      <c r="H908" s="12" t="s">
        <v>20</v>
      </c>
      <c r="I908" s="16">
        <v>1</v>
      </c>
      <c r="J908" s="12" t="s">
        <v>21</v>
      </c>
      <c r="K908" s="12" t="s">
        <v>22</v>
      </c>
      <c r="L908" s="13">
        <v>35</v>
      </c>
    </row>
    <row r="909" spans="1:12" s="10" customFormat="1" ht="18" x14ac:dyDescent="0.25">
      <c r="A909" s="11">
        <v>905</v>
      </c>
      <c r="B909" s="12" t="s">
        <v>525</v>
      </c>
      <c r="C909" s="12" t="str">
        <f t="shared" si="36"/>
        <v>140502</v>
      </c>
      <c r="D909" s="12" t="str">
        <f>"14.140502/2024.01475/BC.I."</f>
        <v>14.140502/2024.01475/BC.I.</v>
      </c>
      <c r="E909" s="12" t="str">
        <f>"201080027476"</f>
        <v>201080027476</v>
      </c>
      <c r="F909" s="12" t="str">
        <f t="shared" si="37"/>
        <v>COMPUTADORA/MICROCOMPUTADORA</v>
      </c>
      <c r="G909" s="12" t="s">
        <v>19</v>
      </c>
      <c r="H909" s="12" t="s">
        <v>20</v>
      </c>
      <c r="I909" s="16">
        <v>1</v>
      </c>
      <c r="J909" s="12" t="s">
        <v>21</v>
      </c>
      <c r="K909" s="12" t="s">
        <v>22</v>
      </c>
      <c r="L909" s="13">
        <v>35</v>
      </c>
    </row>
    <row r="910" spans="1:12" s="10" customFormat="1" ht="18" x14ac:dyDescent="0.25">
      <c r="A910" s="11">
        <v>906</v>
      </c>
      <c r="B910" s="12" t="s">
        <v>525</v>
      </c>
      <c r="C910" s="12" t="str">
        <f t="shared" si="36"/>
        <v>140502</v>
      </c>
      <c r="D910" s="12" t="str">
        <f>"14.140502/2024.01451/BC.I."</f>
        <v>14.140502/2024.01451/BC.I.</v>
      </c>
      <c r="E910" s="12" t="str">
        <f>"201080027494"</f>
        <v>201080027494</v>
      </c>
      <c r="F910" s="12" t="str">
        <f t="shared" si="37"/>
        <v>COMPUTADORA/MICROCOMPUTADORA</v>
      </c>
      <c r="G910" s="12" t="s">
        <v>19</v>
      </c>
      <c r="H910" s="12" t="s">
        <v>20</v>
      </c>
      <c r="I910" s="16">
        <v>1</v>
      </c>
      <c r="J910" s="12" t="s">
        <v>21</v>
      </c>
      <c r="K910" s="12" t="s">
        <v>22</v>
      </c>
      <c r="L910" s="13">
        <v>35</v>
      </c>
    </row>
    <row r="911" spans="1:12" s="10" customFormat="1" ht="18" x14ac:dyDescent="0.25">
      <c r="A911" s="11">
        <v>907</v>
      </c>
      <c r="B911" s="12" t="s">
        <v>525</v>
      </c>
      <c r="C911" s="12" t="str">
        <f t="shared" si="36"/>
        <v>140502</v>
      </c>
      <c r="D911" s="12" t="str">
        <f>"14.140502/2024.01399/BC.I."</f>
        <v>14.140502/2024.01399/BC.I.</v>
      </c>
      <c r="E911" s="12" t="str">
        <f>"201080027512"</f>
        <v>201080027512</v>
      </c>
      <c r="F911" s="12" t="str">
        <f t="shared" si="37"/>
        <v>COMPUTADORA/MICROCOMPUTADORA</v>
      </c>
      <c r="G911" s="12" t="s">
        <v>19</v>
      </c>
      <c r="H911" s="12" t="s">
        <v>20</v>
      </c>
      <c r="I911" s="16">
        <v>1</v>
      </c>
      <c r="J911" s="12" t="s">
        <v>21</v>
      </c>
      <c r="K911" s="12" t="s">
        <v>22</v>
      </c>
      <c r="L911" s="13">
        <v>35</v>
      </c>
    </row>
    <row r="912" spans="1:12" s="10" customFormat="1" ht="18" x14ac:dyDescent="0.25">
      <c r="A912" s="11">
        <v>908</v>
      </c>
      <c r="B912" s="12" t="s">
        <v>525</v>
      </c>
      <c r="C912" s="12" t="str">
        <f t="shared" si="36"/>
        <v>140502</v>
      </c>
      <c r="D912" s="12" t="str">
        <f>"14.140502/2024.01453/BC.I."</f>
        <v>14.140502/2024.01453/BC.I.</v>
      </c>
      <c r="E912" s="12" t="str">
        <f>"201080027521"</f>
        <v>201080027521</v>
      </c>
      <c r="F912" s="12" t="str">
        <f t="shared" si="37"/>
        <v>COMPUTADORA/MICROCOMPUTADORA</v>
      </c>
      <c r="G912" s="12" t="s">
        <v>19</v>
      </c>
      <c r="H912" s="12" t="s">
        <v>20</v>
      </c>
      <c r="I912" s="16">
        <v>1</v>
      </c>
      <c r="J912" s="12" t="s">
        <v>21</v>
      </c>
      <c r="K912" s="12" t="s">
        <v>22</v>
      </c>
      <c r="L912" s="13">
        <v>35</v>
      </c>
    </row>
    <row r="913" spans="1:12" s="10" customFormat="1" ht="18" x14ac:dyDescent="0.25">
      <c r="A913" s="11">
        <v>909</v>
      </c>
      <c r="B913" s="12" t="s">
        <v>525</v>
      </c>
      <c r="C913" s="12" t="str">
        <f t="shared" si="36"/>
        <v>140502</v>
      </c>
      <c r="D913" s="12" t="str">
        <f>"14.140502/2024.01518/BC.I."</f>
        <v>14.140502/2024.01518/BC.I.</v>
      </c>
      <c r="E913" s="12" t="str">
        <f>"201080027528"</f>
        <v>201080027528</v>
      </c>
      <c r="F913" s="12" t="str">
        <f t="shared" si="37"/>
        <v>COMPUTADORA/MICROCOMPUTADORA</v>
      </c>
      <c r="G913" s="12" t="s">
        <v>19</v>
      </c>
      <c r="H913" s="12" t="s">
        <v>20</v>
      </c>
      <c r="I913" s="16">
        <v>1</v>
      </c>
      <c r="J913" s="12" t="s">
        <v>21</v>
      </c>
      <c r="K913" s="12" t="s">
        <v>22</v>
      </c>
      <c r="L913" s="13">
        <v>35</v>
      </c>
    </row>
    <row r="914" spans="1:12" s="10" customFormat="1" ht="18" x14ac:dyDescent="0.25">
      <c r="A914" s="11">
        <v>910</v>
      </c>
      <c r="B914" s="12" t="s">
        <v>525</v>
      </c>
      <c r="C914" s="12" t="str">
        <f t="shared" si="36"/>
        <v>140502</v>
      </c>
      <c r="D914" s="12" t="str">
        <f>"14.140502/2024.01362/BC.I."</f>
        <v>14.140502/2024.01362/BC.I.</v>
      </c>
      <c r="E914" s="12" t="str">
        <f>"201080027530"</f>
        <v>201080027530</v>
      </c>
      <c r="F914" s="12" t="str">
        <f t="shared" si="37"/>
        <v>COMPUTADORA/MICROCOMPUTADORA</v>
      </c>
      <c r="G914" s="12" t="s">
        <v>19</v>
      </c>
      <c r="H914" s="12" t="s">
        <v>20</v>
      </c>
      <c r="I914" s="16">
        <v>1</v>
      </c>
      <c r="J914" s="12" t="s">
        <v>21</v>
      </c>
      <c r="K914" s="12" t="s">
        <v>22</v>
      </c>
      <c r="L914" s="13">
        <v>35</v>
      </c>
    </row>
    <row r="915" spans="1:12" s="10" customFormat="1" ht="18" x14ac:dyDescent="0.25">
      <c r="A915" s="11">
        <v>911</v>
      </c>
      <c r="B915" s="12" t="s">
        <v>525</v>
      </c>
      <c r="C915" s="12" t="str">
        <f t="shared" si="36"/>
        <v>140502</v>
      </c>
      <c r="D915" s="12" t="str">
        <f>"14.140502/2024.01357/BC.I."</f>
        <v>14.140502/2024.01357/BC.I.</v>
      </c>
      <c r="E915" s="12" t="str">
        <f>"201080027535"</f>
        <v>201080027535</v>
      </c>
      <c r="F915" s="12" t="str">
        <f t="shared" si="37"/>
        <v>COMPUTADORA/MICROCOMPUTADORA</v>
      </c>
      <c r="G915" s="12" t="s">
        <v>19</v>
      </c>
      <c r="H915" s="12" t="s">
        <v>20</v>
      </c>
      <c r="I915" s="16">
        <v>1</v>
      </c>
      <c r="J915" s="12" t="s">
        <v>21</v>
      </c>
      <c r="K915" s="12" t="s">
        <v>22</v>
      </c>
      <c r="L915" s="13">
        <v>35</v>
      </c>
    </row>
    <row r="916" spans="1:12" s="10" customFormat="1" ht="18" x14ac:dyDescent="0.25">
      <c r="A916" s="11">
        <v>912</v>
      </c>
      <c r="B916" s="12" t="s">
        <v>525</v>
      </c>
      <c r="C916" s="12" t="str">
        <f t="shared" si="36"/>
        <v>140502</v>
      </c>
      <c r="D916" s="12" t="str">
        <f>"14.140502/2024.01381/BC.I."</f>
        <v>14.140502/2024.01381/BC.I.</v>
      </c>
      <c r="E916" s="12" t="str">
        <f>"201080027537"</f>
        <v>201080027537</v>
      </c>
      <c r="F916" s="12" t="str">
        <f t="shared" si="37"/>
        <v>COMPUTADORA/MICROCOMPUTADORA</v>
      </c>
      <c r="G916" s="12" t="s">
        <v>19</v>
      </c>
      <c r="H916" s="12" t="s">
        <v>20</v>
      </c>
      <c r="I916" s="16">
        <v>1</v>
      </c>
      <c r="J916" s="12" t="s">
        <v>21</v>
      </c>
      <c r="K916" s="12" t="s">
        <v>22</v>
      </c>
      <c r="L916" s="13">
        <v>35</v>
      </c>
    </row>
    <row r="917" spans="1:12" s="10" customFormat="1" ht="18" x14ac:dyDescent="0.25">
      <c r="A917" s="11">
        <v>913</v>
      </c>
      <c r="B917" s="12" t="s">
        <v>525</v>
      </c>
      <c r="C917" s="12" t="str">
        <f t="shared" si="36"/>
        <v>140502</v>
      </c>
      <c r="D917" s="12" t="str">
        <f>"14.140502/2024.01356/BC.I."</f>
        <v>14.140502/2024.01356/BC.I.</v>
      </c>
      <c r="E917" s="12" t="str">
        <f>"201080027550"</f>
        <v>201080027550</v>
      </c>
      <c r="F917" s="12" t="str">
        <f t="shared" si="37"/>
        <v>COMPUTADORA/MICROCOMPUTADORA</v>
      </c>
      <c r="G917" s="12" t="s">
        <v>19</v>
      </c>
      <c r="H917" s="12" t="s">
        <v>20</v>
      </c>
      <c r="I917" s="16">
        <v>1</v>
      </c>
      <c r="J917" s="12" t="s">
        <v>21</v>
      </c>
      <c r="K917" s="12" t="s">
        <v>22</v>
      </c>
      <c r="L917" s="13">
        <v>35</v>
      </c>
    </row>
    <row r="918" spans="1:12" s="10" customFormat="1" ht="18" x14ac:dyDescent="0.25">
      <c r="A918" s="11">
        <v>914</v>
      </c>
      <c r="B918" s="12" t="s">
        <v>525</v>
      </c>
      <c r="C918" s="12" t="str">
        <f t="shared" si="36"/>
        <v>140502</v>
      </c>
      <c r="D918" s="12" t="str">
        <f>"14.140502/2024.01509/BC.I."</f>
        <v>14.140502/2024.01509/BC.I.</v>
      </c>
      <c r="E918" s="12" t="str">
        <f>"201080027551"</f>
        <v>201080027551</v>
      </c>
      <c r="F918" s="12" t="str">
        <f t="shared" si="37"/>
        <v>COMPUTADORA/MICROCOMPUTADORA</v>
      </c>
      <c r="G918" s="12" t="s">
        <v>19</v>
      </c>
      <c r="H918" s="12" t="s">
        <v>20</v>
      </c>
      <c r="I918" s="16">
        <v>1</v>
      </c>
      <c r="J918" s="12" t="s">
        <v>21</v>
      </c>
      <c r="K918" s="12" t="s">
        <v>22</v>
      </c>
      <c r="L918" s="13">
        <v>35</v>
      </c>
    </row>
    <row r="919" spans="1:12" s="10" customFormat="1" ht="18" x14ac:dyDescent="0.25">
      <c r="A919" s="11">
        <v>915</v>
      </c>
      <c r="B919" s="12" t="s">
        <v>525</v>
      </c>
      <c r="C919" s="12" t="str">
        <f t="shared" si="36"/>
        <v>140502</v>
      </c>
      <c r="D919" s="12" t="str">
        <f>"14.140502/2024.01427/BC.I."</f>
        <v>14.140502/2024.01427/BC.I.</v>
      </c>
      <c r="E919" s="12" t="str">
        <f>"201080027552"</f>
        <v>201080027552</v>
      </c>
      <c r="F919" s="12" t="str">
        <f t="shared" si="37"/>
        <v>COMPUTADORA/MICROCOMPUTADORA</v>
      </c>
      <c r="G919" s="12" t="s">
        <v>19</v>
      </c>
      <c r="H919" s="12" t="s">
        <v>20</v>
      </c>
      <c r="I919" s="16">
        <v>1</v>
      </c>
      <c r="J919" s="12" t="s">
        <v>21</v>
      </c>
      <c r="K919" s="12" t="s">
        <v>22</v>
      </c>
      <c r="L919" s="13">
        <v>35</v>
      </c>
    </row>
    <row r="920" spans="1:12" s="10" customFormat="1" ht="18" x14ac:dyDescent="0.25">
      <c r="A920" s="11">
        <v>916</v>
      </c>
      <c r="B920" s="12" t="s">
        <v>525</v>
      </c>
      <c r="C920" s="12" t="str">
        <f t="shared" si="36"/>
        <v>140502</v>
      </c>
      <c r="D920" s="12" t="str">
        <f>"14.140502/2024.01430/BC.I."</f>
        <v>14.140502/2024.01430/BC.I.</v>
      </c>
      <c r="E920" s="12" t="str">
        <f>"201080027555"</f>
        <v>201080027555</v>
      </c>
      <c r="F920" s="12" t="str">
        <f t="shared" si="37"/>
        <v>COMPUTADORA/MICROCOMPUTADORA</v>
      </c>
      <c r="G920" s="12" t="s">
        <v>19</v>
      </c>
      <c r="H920" s="12" t="s">
        <v>20</v>
      </c>
      <c r="I920" s="16">
        <v>1</v>
      </c>
      <c r="J920" s="12" t="s">
        <v>21</v>
      </c>
      <c r="K920" s="12" t="s">
        <v>22</v>
      </c>
      <c r="L920" s="13">
        <v>35</v>
      </c>
    </row>
    <row r="921" spans="1:12" s="10" customFormat="1" ht="18" x14ac:dyDescent="0.25">
      <c r="A921" s="11">
        <v>917</v>
      </c>
      <c r="B921" s="12" t="s">
        <v>525</v>
      </c>
      <c r="C921" s="12" t="str">
        <f t="shared" si="36"/>
        <v>140502</v>
      </c>
      <c r="D921" s="12" t="str">
        <f>"14.140502/2024.01457/BC.I."</f>
        <v>14.140502/2024.01457/BC.I.</v>
      </c>
      <c r="E921" s="12" t="str">
        <f>"201080027571"</f>
        <v>201080027571</v>
      </c>
      <c r="F921" s="12" t="str">
        <f t="shared" si="37"/>
        <v>COMPUTADORA/MICROCOMPUTADORA</v>
      </c>
      <c r="G921" s="12" t="s">
        <v>19</v>
      </c>
      <c r="H921" s="12" t="s">
        <v>20</v>
      </c>
      <c r="I921" s="16">
        <v>1</v>
      </c>
      <c r="J921" s="12" t="s">
        <v>21</v>
      </c>
      <c r="K921" s="12" t="s">
        <v>22</v>
      </c>
      <c r="L921" s="13">
        <v>35</v>
      </c>
    </row>
    <row r="922" spans="1:12" s="10" customFormat="1" ht="18" x14ac:dyDescent="0.25">
      <c r="A922" s="11">
        <v>918</v>
      </c>
      <c r="B922" s="12" t="s">
        <v>525</v>
      </c>
      <c r="C922" s="12" t="str">
        <f t="shared" si="36"/>
        <v>140502</v>
      </c>
      <c r="D922" s="12" t="str">
        <f>"14.140502/2024.01485/BC.I."</f>
        <v>14.140502/2024.01485/BC.I.</v>
      </c>
      <c r="E922" s="12" t="str">
        <f>"201080027572"</f>
        <v>201080027572</v>
      </c>
      <c r="F922" s="12" t="str">
        <f t="shared" si="37"/>
        <v>COMPUTADORA/MICROCOMPUTADORA</v>
      </c>
      <c r="G922" s="12" t="s">
        <v>19</v>
      </c>
      <c r="H922" s="12" t="s">
        <v>20</v>
      </c>
      <c r="I922" s="16">
        <v>1</v>
      </c>
      <c r="J922" s="12" t="s">
        <v>21</v>
      </c>
      <c r="K922" s="12" t="s">
        <v>22</v>
      </c>
      <c r="L922" s="13">
        <v>35</v>
      </c>
    </row>
    <row r="923" spans="1:12" s="10" customFormat="1" ht="18" x14ac:dyDescent="0.25">
      <c r="A923" s="11">
        <v>919</v>
      </c>
      <c r="B923" s="12" t="s">
        <v>525</v>
      </c>
      <c r="C923" s="12" t="str">
        <f t="shared" si="36"/>
        <v>140502</v>
      </c>
      <c r="D923" s="12" t="str">
        <f>"14.140502/2024.01384/BC.I."</f>
        <v>14.140502/2024.01384/BC.I.</v>
      </c>
      <c r="E923" s="12" t="str">
        <f>"201080027573"</f>
        <v>201080027573</v>
      </c>
      <c r="F923" s="12" t="str">
        <f t="shared" si="37"/>
        <v>COMPUTADORA/MICROCOMPUTADORA</v>
      </c>
      <c r="G923" s="12" t="s">
        <v>19</v>
      </c>
      <c r="H923" s="12" t="s">
        <v>20</v>
      </c>
      <c r="I923" s="16">
        <v>1</v>
      </c>
      <c r="J923" s="12" t="s">
        <v>21</v>
      </c>
      <c r="K923" s="12" t="s">
        <v>22</v>
      </c>
      <c r="L923" s="13">
        <v>35</v>
      </c>
    </row>
    <row r="924" spans="1:12" s="10" customFormat="1" ht="18" x14ac:dyDescent="0.25">
      <c r="A924" s="11">
        <v>920</v>
      </c>
      <c r="B924" s="12" t="s">
        <v>525</v>
      </c>
      <c r="C924" s="12" t="str">
        <f t="shared" si="36"/>
        <v>140502</v>
      </c>
      <c r="D924" s="12" t="str">
        <f>"14.140502/2024.01424/BC.I."</f>
        <v>14.140502/2024.01424/BC.I.</v>
      </c>
      <c r="E924" s="12" t="str">
        <f>"201080027593"</f>
        <v>201080027593</v>
      </c>
      <c r="F924" s="12" t="str">
        <f t="shared" si="37"/>
        <v>COMPUTADORA/MICROCOMPUTADORA</v>
      </c>
      <c r="G924" s="12" t="s">
        <v>19</v>
      </c>
      <c r="H924" s="12" t="s">
        <v>20</v>
      </c>
      <c r="I924" s="16">
        <v>1</v>
      </c>
      <c r="J924" s="12" t="s">
        <v>21</v>
      </c>
      <c r="K924" s="12" t="s">
        <v>22</v>
      </c>
      <c r="L924" s="13">
        <v>35</v>
      </c>
    </row>
    <row r="925" spans="1:12" s="10" customFormat="1" ht="18" x14ac:dyDescent="0.25">
      <c r="A925" s="11">
        <v>921</v>
      </c>
      <c r="B925" s="12" t="s">
        <v>525</v>
      </c>
      <c r="C925" s="12" t="str">
        <f t="shared" si="36"/>
        <v>140502</v>
      </c>
      <c r="D925" s="12" t="str">
        <f>"14.140502/2024.01355/BC.I."</f>
        <v>14.140502/2024.01355/BC.I.</v>
      </c>
      <c r="E925" s="12" t="str">
        <f>"201080027595"</f>
        <v>201080027595</v>
      </c>
      <c r="F925" s="12" t="str">
        <f t="shared" si="37"/>
        <v>COMPUTADORA/MICROCOMPUTADORA</v>
      </c>
      <c r="G925" s="12" t="s">
        <v>19</v>
      </c>
      <c r="H925" s="12" t="s">
        <v>20</v>
      </c>
      <c r="I925" s="16">
        <v>1</v>
      </c>
      <c r="J925" s="12" t="s">
        <v>21</v>
      </c>
      <c r="K925" s="12" t="s">
        <v>22</v>
      </c>
      <c r="L925" s="13">
        <v>35</v>
      </c>
    </row>
    <row r="926" spans="1:12" s="10" customFormat="1" ht="18" x14ac:dyDescent="0.25">
      <c r="A926" s="11">
        <v>922</v>
      </c>
      <c r="B926" s="12" t="s">
        <v>525</v>
      </c>
      <c r="C926" s="12" t="str">
        <f t="shared" si="36"/>
        <v>140502</v>
      </c>
      <c r="D926" s="12" t="str">
        <f>"14.140502/2024.01422/BC.I."</f>
        <v>14.140502/2024.01422/BC.I.</v>
      </c>
      <c r="E926" s="12" t="str">
        <f>"201080027596"</f>
        <v>201080027596</v>
      </c>
      <c r="F926" s="12" t="str">
        <f t="shared" si="37"/>
        <v>COMPUTADORA/MICROCOMPUTADORA</v>
      </c>
      <c r="G926" s="12" t="s">
        <v>19</v>
      </c>
      <c r="H926" s="12" t="s">
        <v>20</v>
      </c>
      <c r="I926" s="16">
        <v>1</v>
      </c>
      <c r="J926" s="12" t="s">
        <v>21</v>
      </c>
      <c r="K926" s="12" t="s">
        <v>22</v>
      </c>
      <c r="L926" s="13">
        <v>35</v>
      </c>
    </row>
    <row r="927" spans="1:12" s="10" customFormat="1" ht="18" x14ac:dyDescent="0.25">
      <c r="A927" s="11">
        <v>923</v>
      </c>
      <c r="B927" s="12" t="s">
        <v>525</v>
      </c>
      <c r="C927" s="12" t="str">
        <f t="shared" si="36"/>
        <v>140502</v>
      </c>
      <c r="D927" s="12" t="str">
        <f>"14.140502/2024.01433/BC.I."</f>
        <v>14.140502/2024.01433/BC.I.</v>
      </c>
      <c r="E927" s="12" t="str">
        <f>"201080027601"</f>
        <v>201080027601</v>
      </c>
      <c r="F927" s="12" t="str">
        <f t="shared" si="37"/>
        <v>COMPUTADORA/MICROCOMPUTADORA</v>
      </c>
      <c r="G927" s="12" t="s">
        <v>19</v>
      </c>
      <c r="H927" s="12" t="s">
        <v>20</v>
      </c>
      <c r="I927" s="16">
        <v>1</v>
      </c>
      <c r="J927" s="12" t="s">
        <v>21</v>
      </c>
      <c r="K927" s="12" t="s">
        <v>22</v>
      </c>
      <c r="L927" s="13">
        <v>35</v>
      </c>
    </row>
    <row r="928" spans="1:12" s="10" customFormat="1" ht="18" x14ac:dyDescent="0.25">
      <c r="A928" s="11">
        <v>924</v>
      </c>
      <c r="B928" s="12" t="s">
        <v>525</v>
      </c>
      <c r="C928" s="12" t="str">
        <f t="shared" si="36"/>
        <v>140502</v>
      </c>
      <c r="D928" s="12" t="str">
        <f>"14.140502/2024.01488/BC.I."</f>
        <v>14.140502/2024.01488/BC.I.</v>
      </c>
      <c r="E928" s="12" t="str">
        <f>"201080027631"</f>
        <v>201080027631</v>
      </c>
      <c r="F928" s="12" t="str">
        <f t="shared" si="37"/>
        <v>COMPUTADORA/MICROCOMPUTADORA</v>
      </c>
      <c r="G928" s="12" t="s">
        <v>19</v>
      </c>
      <c r="H928" s="12" t="s">
        <v>20</v>
      </c>
      <c r="I928" s="16">
        <v>1</v>
      </c>
      <c r="J928" s="12" t="s">
        <v>21</v>
      </c>
      <c r="K928" s="12" t="s">
        <v>22</v>
      </c>
      <c r="L928" s="13">
        <v>35</v>
      </c>
    </row>
    <row r="929" spans="1:12" s="10" customFormat="1" ht="18" x14ac:dyDescent="0.25">
      <c r="A929" s="11">
        <v>925</v>
      </c>
      <c r="B929" s="12" t="s">
        <v>525</v>
      </c>
      <c r="C929" s="12" t="str">
        <f t="shared" si="36"/>
        <v>140502</v>
      </c>
      <c r="D929" s="12" t="str">
        <f>"14.140502/2024.01345/BC.I."</f>
        <v>14.140502/2024.01345/BC.I.</v>
      </c>
      <c r="E929" s="12" t="str">
        <f>"201080027632"</f>
        <v>201080027632</v>
      </c>
      <c r="F929" s="12" t="str">
        <f t="shared" si="37"/>
        <v>COMPUTADORA/MICROCOMPUTADORA</v>
      </c>
      <c r="G929" s="12" t="s">
        <v>19</v>
      </c>
      <c r="H929" s="12" t="s">
        <v>20</v>
      </c>
      <c r="I929" s="16">
        <v>1</v>
      </c>
      <c r="J929" s="12" t="s">
        <v>21</v>
      </c>
      <c r="K929" s="12" t="s">
        <v>22</v>
      </c>
      <c r="L929" s="13">
        <v>35</v>
      </c>
    </row>
    <row r="930" spans="1:12" s="10" customFormat="1" ht="18" x14ac:dyDescent="0.25">
      <c r="A930" s="11">
        <v>926</v>
      </c>
      <c r="B930" s="12" t="s">
        <v>525</v>
      </c>
      <c r="C930" s="12" t="str">
        <f t="shared" si="36"/>
        <v>140502</v>
      </c>
      <c r="D930" s="12" t="str">
        <f>"14.140502/2024.01401/BC.I."</f>
        <v>14.140502/2024.01401/BC.I.</v>
      </c>
      <c r="E930" s="12" t="str">
        <f>"201080027646"</f>
        <v>201080027646</v>
      </c>
      <c r="F930" s="12" t="str">
        <f t="shared" si="37"/>
        <v>COMPUTADORA/MICROCOMPUTADORA</v>
      </c>
      <c r="G930" s="12" t="s">
        <v>19</v>
      </c>
      <c r="H930" s="12" t="s">
        <v>20</v>
      </c>
      <c r="I930" s="16">
        <v>1</v>
      </c>
      <c r="J930" s="12" t="s">
        <v>21</v>
      </c>
      <c r="K930" s="12" t="s">
        <v>22</v>
      </c>
      <c r="L930" s="13">
        <v>35</v>
      </c>
    </row>
    <row r="931" spans="1:12" s="10" customFormat="1" ht="18" x14ac:dyDescent="0.25">
      <c r="A931" s="11">
        <v>927</v>
      </c>
      <c r="B931" s="12" t="s">
        <v>525</v>
      </c>
      <c r="C931" s="12" t="str">
        <f t="shared" si="36"/>
        <v>140502</v>
      </c>
      <c r="D931" s="12" t="str">
        <f>"14.140502/2024.01437/BC.I."</f>
        <v>14.140502/2024.01437/BC.I.</v>
      </c>
      <c r="E931" s="12" t="str">
        <f>"201080027744"</f>
        <v>201080027744</v>
      </c>
      <c r="F931" s="12" t="str">
        <f t="shared" si="37"/>
        <v>COMPUTADORA/MICROCOMPUTADORA</v>
      </c>
      <c r="G931" s="12" t="s">
        <v>19</v>
      </c>
      <c r="H931" s="12" t="s">
        <v>20</v>
      </c>
      <c r="I931" s="16">
        <v>1</v>
      </c>
      <c r="J931" s="12" t="s">
        <v>21</v>
      </c>
      <c r="K931" s="12" t="s">
        <v>22</v>
      </c>
      <c r="L931" s="13">
        <v>35</v>
      </c>
    </row>
    <row r="932" spans="1:12" s="10" customFormat="1" ht="18" x14ac:dyDescent="0.25">
      <c r="A932" s="11">
        <v>928</v>
      </c>
      <c r="B932" s="12" t="s">
        <v>525</v>
      </c>
      <c r="C932" s="12" t="str">
        <f t="shared" si="36"/>
        <v>140502</v>
      </c>
      <c r="D932" s="12" t="str">
        <f>"14.140502/2024.01454/BC.I."</f>
        <v>14.140502/2024.01454/BC.I.</v>
      </c>
      <c r="E932" s="12" t="str">
        <f>"201080027803"</f>
        <v>201080027803</v>
      </c>
      <c r="F932" s="12" t="str">
        <f t="shared" si="37"/>
        <v>COMPUTADORA/MICROCOMPUTADORA</v>
      </c>
      <c r="G932" s="12" t="s">
        <v>19</v>
      </c>
      <c r="H932" s="12" t="s">
        <v>20</v>
      </c>
      <c r="I932" s="16">
        <v>1</v>
      </c>
      <c r="J932" s="12" t="s">
        <v>21</v>
      </c>
      <c r="K932" s="12" t="s">
        <v>22</v>
      </c>
      <c r="L932" s="13">
        <v>35</v>
      </c>
    </row>
    <row r="933" spans="1:12" s="10" customFormat="1" ht="18" x14ac:dyDescent="0.25">
      <c r="A933" s="11">
        <v>929</v>
      </c>
      <c r="B933" s="12" t="s">
        <v>525</v>
      </c>
      <c r="C933" s="12" t="str">
        <f t="shared" si="36"/>
        <v>140502</v>
      </c>
      <c r="D933" s="12" t="str">
        <f>"14.140502/2024.01342/BC.I."</f>
        <v>14.140502/2024.01342/BC.I.</v>
      </c>
      <c r="E933" s="12" t="str">
        <f>"201080027807"</f>
        <v>201080027807</v>
      </c>
      <c r="F933" s="12" t="str">
        <f t="shared" si="37"/>
        <v>COMPUTADORA/MICROCOMPUTADORA</v>
      </c>
      <c r="G933" s="12" t="s">
        <v>19</v>
      </c>
      <c r="H933" s="12" t="s">
        <v>20</v>
      </c>
      <c r="I933" s="16">
        <v>1</v>
      </c>
      <c r="J933" s="12" t="s">
        <v>21</v>
      </c>
      <c r="K933" s="12" t="s">
        <v>22</v>
      </c>
      <c r="L933" s="13">
        <v>35</v>
      </c>
    </row>
    <row r="934" spans="1:12" s="10" customFormat="1" ht="18" x14ac:dyDescent="0.25">
      <c r="A934" s="11">
        <v>930</v>
      </c>
      <c r="B934" s="12" t="s">
        <v>525</v>
      </c>
      <c r="C934" s="12" t="str">
        <f t="shared" si="36"/>
        <v>140502</v>
      </c>
      <c r="D934" s="12" t="str">
        <f>"14.140502/2024.01370/BC.I."</f>
        <v>14.140502/2024.01370/BC.I.</v>
      </c>
      <c r="E934" s="12" t="str">
        <f>"201080027808"</f>
        <v>201080027808</v>
      </c>
      <c r="F934" s="12" t="str">
        <f t="shared" si="37"/>
        <v>COMPUTADORA/MICROCOMPUTADORA</v>
      </c>
      <c r="G934" s="12" t="s">
        <v>19</v>
      </c>
      <c r="H934" s="12" t="s">
        <v>20</v>
      </c>
      <c r="I934" s="16">
        <v>1</v>
      </c>
      <c r="J934" s="12" t="s">
        <v>21</v>
      </c>
      <c r="K934" s="12" t="s">
        <v>22</v>
      </c>
      <c r="L934" s="13">
        <v>35</v>
      </c>
    </row>
    <row r="935" spans="1:12" s="10" customFormat="1" ht="18" x14ac:dyDescent="0.25">
      <c r="A935" s="11">
        <v>931</v>
      </c>
      <c r="B935" s="12" t="s">
        <v>525</v>
      </c>
      <c r="C935" s="12" t="str">
        <f t="shared" si="36"/>
        <v>140502</v>
      </c>
      <c r="D935" s="12" t="str">
        <f>"14.140502/2024.01460/BC.I."</f>
        <v>14.140502/2024.01460/BC.I.</v>
      </c>
      <c r="E935" s="12" t="str">
        <f>"201080027821"</f>
        <v>201080027821</v>
      </c>
      <c r="F935" s="12" t="str">
        <f t="shared" si="37"/>
        <v>COMPUTADORA/MICROCOMPUTADORA</v>
      </c>
      <c r="G935" s="12" t="s">
        <v>19</v>
      </c>
      <c r="H935" s="12" t="s">
        <v>20</v>
      </c>
      <c r="I935" s="16">
        <v>1</v>
      </c>
      <c r="J935" s="12" t="s">
        <v>21</v>
      </c>
      <c r="K935" s="12" t="s">
        <v>22</v>
      </c>
      <c r="L935" s="13">
        <v>35</v>
      </c>
    </row>
    <row r="936" spans="1:12" s="10" customFormat="1" ht="18" x14ac:dyDescent="0.25">
      <c r="A936" s="11">
        <v>932</v>
      </c>
      <c r="B936" s="12" t="s">
        <v>525</v>
      </c>
      <c r="C936" s="12" t="str">
        <f t="shared" si="36"/>
        <v>140502</v>
      </c>
      <c r="D936" s="12" t="str">
        <f>"14.140502/2024.01340/BC.I."</f>
        <v>14.140502/2024.01340/BC.I.</v>
      </c>
      <c r="E936" s="12" t="str">
        <f>"201080027825"</f>
        <v>201080027825</v>
      </c>
      <c r="F936" s="12" t="str">
        <f t="shared" si="37"/>
        <v>COMPUTADORA/MICROCOMPUTADORA</v>
      </c>
      <c r="G936" s="12" t="s">
        <v>19</v>
      </c>
      <c r="H936" s="12" t="s">
        <v>20</v>
      </c>
      <c r="I936" s="16">
        <v>1</v>
      </c>
      <c r="J936" s="12" t="s">
        <v>21</v>
      </c>
      <c r="K936" s="12" t="s">
        <v>22</v>
      </c>
      <c r="L936" s="13">
        <v>35</v>
      </c>
    </row>
    <row r="937" spans="1:12" s="10" customFormat="1" ht="18" x14ac:dyDescent="0.25">
      <c r="A937" s="11">
        <v>933</v>
      </c>
      <c r="B937" s="12" t="s">
        <v>525</v>
      </c>
      <c r="C937" s="12" t="str">
        <f t="shared" si="36"/>
        <v>140502</v>
      </c>
      <c r="D937" s="12" t="str">
        <f>"14.140502/2024.01450/BC.I."</f>
        <v>14.140502/2024.01450/BC.I.</v>
      </c>
      <c r="E937" s="12" t="str">
        <f>"201080027828"</f>
        <v>201080027828</v>
      </c>
      <c r="F937" s="12" t="str">
        <f t="shared" si="37"/>
        <v>COMPUTADORA/MICROCOMPUTADORA</v>
      </c>
      <c r="G937" s="12" t="s">
        <v>19</v>
      </c>
      <c r="H937" s="12" t="s">
        <v>20</v>
      </c>
      <c r="I937" s="16">
        <v>1</v>
      </c>
      <c r="J937" s="12" t="s">
        <v>21</v>
      </c>
      <c r="K937" s="12" t="s">
        <v>22</v>
      </c>
      <c r="L937" s="13">
        <v>35</v>
      </c>
    </row>
    <row r="938" spans="1:12" s="10" customFormat="1" ht="18" x14ac:dyDescent="0.25">
      <c r="A938" s="11">
        <v>934</v>
      </c>
      <c r="B938" s="12" t="s">
        <v>525</v>
      </c>
      <c r="C938" s="12" t="str">
        <f t="shared" si="36"/>
        <v>140502</v>
      </c>
      <c r="D938" s="12" t="str">
        <f>"14.140502/2024.01408/BC.I."</f>
        <v>14.140502/2024.01408/BC.I.</v>
      </c>
      <c r="E938" s="12" t="str">
        <f>"201080027835"</f>
        <v>201080027835</v>
      </c>
      <c r="F938" s="12" t="str">
        <f t="shared" si="37"/>
        <v>COMPUTADORA/MICROCOMPUTADORA</v>
      </c>
      <c r="G938" s="12" t="s">
        <v>19</v>
      </c>
      <c r="H938" s="12" t="s">
        <v>20</v>
      </c>
      <c r="I938" s="16">
        <v>1</v>
      </c>
      <c r="J938" s="12" t="s">
        <v>21</v>
      </c>
      <c r="K938" s="12" t="s">
        <v>22</v>
      </c>
      <c r="L938" s="13">
        <v>35</v>
      </c>
    </row>
    <row r="939" spans="1:12" s="10" customFormat="1" ht="18" x14ac:dyDescent="0.25">
      <c r="A939" s="11">
        <v>935</v>
      </c>
      <c r="B939" s="12" t="s">
        <v>525</v>
      </c>
      <c r="C939" s="12" t="str">
        <f t="shared" si="36"/>
        <v>140502</v>
      </c>
      <c r="D939" s="12" t="str">
        <f>"14.140502/2024.01366/BC.I."</f>
        <v>14.140502/2024.01366/BC.I.</v>
      </c>
      <c r="E939" s="12" t="str">
        <f>"201080027844"</f>
        <v>201080027844</v>
      </c>
      <c r="F939" s="12" t="str">
        <f t="shared" si="37"/>
        <v>COMPUTADORA/MICROCOMPUTADORA</v>
      </c>
      <c r="G939" s="12" t="s">
        <v>19</v>
      </c>
      <c r="H939" s="12" t="s">
        <v>20</v>
      </c>
      <c r="I939" s="16">
        <v>1</v>
      </c>
      <c r="J939" s="12" t="s">
        <v>21</v>
      </c>
      <c r="K939" s="12" t="s">
        <v>22</v>
      </c>
      <c r="L939" s="13">
        <v>35</v>
      </c>
    </row>
    <row r="940" spans="1:12" s="10" customFormat="1" ht="18" x14ac:dyDescent="0.25">
      <c r="A940" s="11">
        <v>936</v>
      </c>
      <c r="B940" s="12" t="s">
        <v>525</v>
      </c>
      <c r="C940" s="12" t="str">
        <f t="shared" si="36"/>
        <v>140502</v>
      </c>
      <c r="D940" s="12" t="str">
        <f>"14.140502/2024.01434/BC.I."</f>
        <v>14.140502/2024.01434/BC.I.</v>
      </c>
      <c r="E940" s="12" t="str">
        <f>"201080030899"</f>
        <v>201080030899</v>
      </c>
      <c r="F940" s="12" t="str">
        <f t="shared" si="37"/>
        <v>COMPUTADORA/MICROCOMPUTADORA</v>
      </c>
      <c r="G940" s="12" t="s">
        <v>19</v>
      </c>
      <c r="H940" s="12" t="s">
        <v>20</v>
      </c>
      <c r="I940" s="16">
        <v>1</v>
      </c>
      <c r="J940" s="12" t="s">
        <v>21</v>
      </c>
      <c r="K940" s="12" t="s">
        <v>22</v>
      </c>
      <c r="L940" s="13">
        <v>35</v>
      </c>
    </row>
    <row r="941" spans="1:12" s="10" customFormat="1" ht="18" x14ac:dyDescent="0.25">
      <c r="A941" s="11">
        <v>937</v>
      </c>
      <c r="B941" s="12" t="s">
        <v>525</v>
      </c>
      <c r="C941" s="12" t="str">
        <f t="shared" si="36"/>
        <v>140502</v>
      </c>
      <c r="D941" s="12" t="str">
        <f>"14.140502/2024.01442/BC.I."</f>
        <v>14.140502/2024.01442/BC.I.</v>
      </c>
      <c r="E941" s="12" t="str">
        <f>"201080059425"</f>
        <v>201080059425</v>
      </c>
      <c r="F941" s="12" t="str">
        <f t="shared" si="37"/>
        <v>COMPUTADORA/MICROCOMPUTADORA</v>
      </c>
      <c r="G941" s="12" t="s">
        <v>19</v>
      </c>
      <c r="H941" s="12" t="s">
        <v>20</v>
      </c>
      <c r="I941" s="16">
        <v>1</v>
      </c>
      <c r="J941" s="12" t="s">
        <v>21</v>
      </c>
      <c r="K941" s="12" t="s">
        <v>22</v>
      </c>
      <c r="L941" s="13">
        <v>35</v>
      </c>
    </row>
    <row r="942" spans="1:12" s="10" customFormat="1" ht="18" x14ac:dyDescent="0.25">
      <c r="A942" s="11">
        <v>938</v>
      </c>
      <c r="B942" s="12" t="s">
        <v>525</v>
      </c>
      <c r="C942" s="12" t="str">
        <f t="shared" si="36"/>
        <v>140502</v>
      </c>
      <c r="D942" s="12" t="str">
        <f>"14.140502/2024.01417/BC.I."</f>
        <v>14.140502/2024.01417/BC.I.</v>
      </c>
      <c r="E942" s="12" t="str">
        <f>"201180012589"</f>
        <v>201180012589</v>
      </c>
      <c r="F942" s="12" t="str">
        <f t="shared" si="37"/>
        <v>COMPUTADORA/MICROCOMPUTADORA</v>
      </c>
      <c r="G942" s="12" t="s">
        <v>19</v>
      </c>
      <c r="H942" s="12" t="s">
        <v>20</v>
      </c>
      <c r="I942" s="16">
        <v>1</v>
      </c>
      <c r="J942" s="12" t="s">
        <v>21</v>
      </c>
      <c r="K942" s="12" t="s">
        <v>22</v>
      </c>
      <c r="L942" s="13">
        <v>35</v>
      </c>
    </row>
    <row r="943" spans="1:12" s="10" customFormat="1" ht="18" x14ac:dyDescent="0.25">
      <c r="A943" s="11">
        <v>939</v>
      </c>
      <c r="B943" s="12" t="s">
        <v>525</v>
      </c>
      <c r="C943" s="12" t="str">
        <f t="shared" si="36"/>
        <v>140502</v>
      </c>
      <c r="D943" s="12" t="str">
        <f>"14.140502/2024.01392/BC.I."</f>
        <v>14.140502/2024.01392/BC.I.</v>
      </c>
      <c r="E943" s="12" t="str">
        <f>"201180016035"</f>
        <v>201180016035</v>
      </c>
      <c r="F943" s="12" t="str">
        <f t="shared" si="37"/>
        <v>COMPUTADORA/MICROCOMPUTADORA</v>
      </c>
      <c r="G943" s="12" t="s">
        <v>19</v>
      </c>
      <c r="H943" s="12" t="s">
        <v>20</v>
      </c>
      <c r="I943" s="16">
        <v>1</v>
      </c>
      <c r="J943" s="12" t="s">
        <v>21</v>
      </c>
      <c r="K943" s="12" t="s">
        <v>22</v>
      </c>
      <c r="L943" s="13">
        <v>35</v>
      </c>
    </row>
    <row r="944" spans="1:12" s="10" customFormat="1" ht="18" x14ac:dyDescent="0.25">
      <c r="A944" s="11">
        <v>940</v>
      </c>
      <c r="B944" s="12" t="s">
        <v>525</v>
      </c>
      <c r="C944" s="12" t="str">
        <f t="shared" si="36"/>
        <v>140502</v>
      </c>
      <c r="D944" s="12" t="str">
        <f>"14.140502/2024.01484/BC.I."</f>
        <v>14.140502/2024.01484/BC.I.</v>
      </c>
      <c r="E944" s="12" t="str">
        <f>"201180037032"</f>
        <v>201180037032</v>
      </c>
      <c r="F944" s="12" t="str">
        <f t="shared" si="37"/>
        <v>COMPUTADORA/MICROCOMPUTADORA</v>
      </c>
      <c r="G944" s="12" t="s">
        <v>19</v>
      </c>
      <c r="H944" s="12" t="s">
        <v>20</v>
      </c>
      <c r="I944" s="16">
        <v>1</v>
      </c>
      <c r="J944" s="12" t="s">
        <v>21</v>
      </c>
      <c r="K944" s="12" t="s">
        <v>22</v>
      </c>
      <c r="L944" s="13">
        <v>35</v>
      </c>
    </row>
    <row r="945" spans="1:12" s="10" customFormat="1" ht="18" x14ac:dyDescent="0.25">
      <c r="A945" s="11">
        <v>941</v>
      </c>
      <c r="B945" s="12" t="s">
        <v>525</v>
      </c>
      <c r="C945" s="12" t="str">
        <f t="shared" si="36"/>
        <v>140502</v>
      </c>
      <c r="D945" s="12" t="str">
        <f>"14.140502/2024.01334/BC.O."</f>
        <v>14.140502/2024.01334/BC.O.</v>
      </c>
      <c r="E945" s="12" t="str">
        <f>"1986038417"</f>
        <v>1986038417</v>
      </c>
      <c r="F945" s="12" t="str">
        <f>"RETINOSCOPIO/REFRACTOSCOPIO"</f>
        <v>RETINOSCOPIO/REFRACTOSCOPIO</v>
      </c>
      <c r="G945" s="12" t="s">
        <v>19</v>
      </c>
      <c r="H945" s="12" t="s">
        <v>20</v>
      </c>
      <c r="I945" s="16">
        <v>1</v>
      </c>
      <c r="J945" s="12" t="s">
        <v>21</v>
      </c>
      <c r="K945" s="12" t="s">
        <v>22</v>
      </c>
      <c r="L945" s="13">
        <v>50</v>
      </c>
    </row>
    <row r="946" spans="1:12" s="10" customFormat="1" ht="18" x14ac:dyDescent="0.25">
      <c r="A946" s="11">
        <v>942</v>
      </c>
      <c r="B946" s="12" t="s">
        <v>525</v>
      </c>
      <c r="C946" s="12" t="str">
        <f t="shared" si="36"/>
        <v>140502</v>
      </c>
      <c r="D946" s="12" t="str">
        <f>"14.140502/2024.01293/BC.O."</f>
        <v>14.140502/2024.01293/BC.O.</v>
      </c>
      <c r="E946" s="12" t="str">
        <f>"1989008287"</f>
        <v>1989008287</v>
      </c>
      <c r="F946" s="12" t="str">
        <f t="shared" ref="F946:F952" si="38">"LIBRO/DE CONSULTA"</f>
        <v>LIBRO/DE CONSULTA</v>
      </c>
      <c r="G946" s="12" t="s">
        <v>19</v>
      </c>
      <c r="H946" s="12" t="s">
        <v>20</v>
      </c>
      <c r="I946" s="16">
        <v>1</v>
      </c>
      <c r="J946" s="12" t="s">
        <v>21</v>
      </c>
      <c r="K946" s="12" t="s">
        <v>22</v>
      </c>
      <c r="L946" s="13">
        <v>30</v>
      </c>
    </row>
    <row r="947" spans="1:12" s="10" customFormat="1" ht="18" x14ac:dyDescent="0.25">
      <c r="A947" s="11">
        <v>943</v>
      </c>
      <c r="B947" s="12" t="s">
        <v>525</v>
      </c>
      <c r="C947" s="12" t="str">
        <f t="shared" si="36"/>
        <v>140502</v>
      </c>
      <c r="D947" s="12" t="str">
        <f>"14.140502/2024.01297/BC.O."</f>
        <v>14.140502/2024.01297/BC.O.</v>
      </c>
      <c r="E947" s="12" t="str">
        <f>"1989008288"</f>
        <v>1989008288</v>
      </c>
      <c r="F947" s="12" t="str">
        <f t="shared" si="38"/>
        <v>LIBRO/DE CONSULTA</v>
      </c>
      <c r="G947" s="12" t="s">
        <v>19</v>
      </c>
      <c r="H947" s="12" t="s">
        <v>20</v>
      </c>
      <c r="I947" s="16">
        <v>1</v>
      </c>
      <c r="J947" s="12" t="s">
        <v>21</v>
      </c>
      <c r="K947" s="12" t="s">
        <v>22</v>
      </c>
      <c r="L947" s="13">
        <v>30</v>
      </c>
    </row>
    <row r="948" spans="1:12" s="10" customFormat="1" ht="18" x14ac:dyDescent="0.25">
      <c r="A948" s="11">
        <v>944</v>
      </c>
      <c r="B948" s="12" t="s">
        <v>525</v>
      </c>
      <c r="C948" s="12" t="str">
        <f t="shared" si="36"/>
        <v>140502</v>
      </c>
      <c r="D948" s="12" t="str">
        <f>"14.140502/2024.01298/BC.O."</f>
        <v>14.140502/2024.01298/BC.O.</v>
      </c>
      <c r="E948" s="12" t="str">
        <f>"1989008289"</f>
        <v>1989008289</v>
      </c>
      <c r="F948" s="12" t="str">
        <f t="shared" si="38"/>
        <v>LIBRO/DE CONSULTA</v>
      </c>
      <c r="G948" s="12" t="s">
        <v>19</v>
      </c>
      <c r="H948" s="12" t="s">
        <v>20</v>
      </c>
      <c r="I948" s="16">
        <v>1</v>
      </c>
      <c r="J948" s="12" t="s">
        <v>21</v>
      </c>
      <c r="K948" s="12" t="s">
        <v>22</v>
      </c>
      <c r="L948" s="13">
        <v>30</v>
      </c>
    </row>
    <row r="949" spans="1:12" s="10" customFormat="1" ht="18" x14ac:dyDescent="0.25">
      <c r="A949" s="11">
        <v>945</v>
      </c>
      <c r="B949" s="12" t="s">
        <v>525</v>
      </c>
      <c r="C949" s="12" t="str">
        <f t="shared" si="36"/>
        <v>140502</v>
      </c>
      <c r="D949" s="12" t="str">
        <f>"14.140502/2024.01296/BC.O."</f>
        <v>14.140502/2024.01296/BC.O.</v>
      </c>
      <c r="E949" s="12" t="str">
        <f>"1989008290"</f>
        <v>1989008290</v>
      </c>
      <c r="F949" s="12" t="str">
        <f t="shared" si="38"/>
        <v>LIBRO/DE CONSULTA</v>
      </c>
      <c r="G949" s="12" t="s">
        <v>19</v>
      </c>
      <c r="H949" s="12" t="s">
        <v>20</v>
      </c>
      <c r="I949" s="16">
        <v>1</v>
      </c>
      <c r="J949" s="12" t="s">
        <v>21</v>
      </c>
      <c r="K949" s="12" t="s">
        <v>22</v>
      </c>
      <c r="L949" s="13">
        <v>30</v>
      </c>
    </row>
    <row r="950" spans="1:12" s="10" customFormat="1" ht="18" x14ac:dyDescent="0.25">
      <c r="A950" s="11">
        <v>946</v>
      </c>
      <c r="B950" s="12" t="s">
        <v>525</v>
      </c>
      <c r="C950" s="12" t="str">
        <f t="shared" si="36"/>
        <v>140502</v>
      </c>
      <c r="D950" s="12" t="str">
        <f>"14.140502/2024.01295/BC.O."</f>
        <v>14.140502/2024.01295/BC.O.</v>
      </c>
      <c r="E950" s="12" t="str">
        <f>"1989008291"</f>
        <v>1989008291</v>
      </c>
      <c r="F950" s="12" t="str">
        <f t="shared" si="38"/>
        <v>LIBRO/DE CONSULTA</v>
      </c>
      <c r="G950" s="12" t="s">
        <v>19</v>
      </c>
      <c r="H950" s="12" t="s">
        <v>20</v>
      </c>
      <c r="I950" s="16">
        <v>1</v>
      </c>
      <c r="J950" s="12" t="s">
        <v>21</v>
      </c>
      <c r="K950" s="12" t="s">
        <v>22</v>
      </c>
      <c r="L950" s="13">
        <v>30</v>
      </c>
    </row>
    <row r="951" spans="1:12" s="10" customFormat="1" ht="18" x14ac:dyDescent="0.25">
      <c r="A951" s="11">
        <v>947</v>
      </c>
      <c r="B951" s="12" t="s">
        <v>525</v>
      </c>
      <c r="C951" s="12" t="str">
        <f t="shared" si="36"/>
        <v>140502</v>
      </c>
      <c r="D951" s="12" t="str">
        <f>"14.140502/2024.01299/BC.O."</f>
        <v>14.140502/2024.01299/BC.O.</v>
      </c>
      <c r="E951" s="12" t="str">
        <f>"1989008293"</f>
        <v>1989008293</v>
      </c>
      <c r="F951" s="12" t="str">
        <f t="shared" si="38"/>
        <v>LIBRO/DE CONSULTA</v>
      </c>
      <c r="G951" s="12" t="s">
        <v>19</v>
      </c>
      <c r="H951" s="12" t="s">
        <v>20</v>
      </c>
      <c r="I951" s="16">
        <v>1</v>
      </c>
      <c r="J951" s="12" t="s">
        <v>21</v>
      </c>
      <c r="K951" s="12" t="s">
        <v>22</v>
      </c>
      <c r="L951" s="13">
        <v>30</v>
      </c>
    </row>
    <row r="952" spans="1:12" s="10" customFormat="1" ht="18" x14ac:dyDescent="0.25">
      <c r="A952" s="11">
        <v>948</v>
      </c>
      <c r="B952" s="12" t="s">
        <v>525</v>
      </c>
      <c r="C952" s="12" t="str">
        <f t="shared" si="36"/>
        <v>140502</v>
      </c>
      <c r="D952" s="12" t="str">
        <f>"14.140502/2024.01291/BC.O."</f>
        <v>14.140502/2024.01291/BC.O.</v>
      </c>
      <c r="E952" s="12" t="str">
        <f>"1991216925"</f>
        <v>1991216925</v>
      </c>
      <c r="F952" s="12" t="str">
        <f t="shared" si="38"/>
        <v>LIBRO/DE CONSULTA</v>
      </c>
      <c r="G952" s="12" t="s">
        <v>19</v>
      </c>
      <c r="H952" s="12" t="s">
        <v>20</v>
      </c>
      <c r="I952" s="16">
        <v>1</v>
      </c>
      <c r="J952" s="12" t="s">
        <v>21</v>
      </c>
      <c r="K952" s="12" t="s">
        <v>22</v>
      </c>
      <c r="L952" s="13">
        <v>30</v>
      </c>
    </row>
    <row r="953" spans="1:12" s="10" customFormat="1" ht="18" x14ac:dyDescent="0.25">
      <c r="A953" s="11">
        <v>949</v>
      </c>
      <c r="B953" s="12" t="s">
        <v>525</v>
      </c>
      <c r="C953" s="12" t="str">
        <f t="shared" ref="C953:C1016" si="39">"140502"</f>
        <v>140502</v>
      </c>
      <c r="D953" s="12" t="str">
        <f>"14.140502/2024.01287/BC.O."</f>
        <v>14.140502/2024.01287/BC.O.</v>
      </c>
      <c r="E953" s="12" t="str">
        <f>"1991216926"</f>
        <v>1991216926</v>
      </c>
      <c r="F953" s="12" t="str">
        <f>"TRATAMIENTO/DE CANCER DE MAMA"</f>
        <v>TRATAMIENTO/DE CANCER DE MAMA</v>
      </c>
      <c r="G953" s="12" t="s">
        <v>19</v>
      </c>
      <c r="H953" s="12" t="s">
        <v>20</v>
      </c>
      <c r="I953" s="16">
        <v>1</v>
      </c>
      <c r="J953" s="12" t="s">
        <v>21</v>
      </c>
      <c r="K953" s="12" t="s">
        <v>22</v>
      </c>
      <c r="L953" s="13">
        <v>30</v>
      </c>
    </row>
    <row r="954" spans="1:12" s="10" customFormat="1" ht="18" x14ac:dyDescent="0.25">
      <c r="A954" s="11">
        <v>950</v>
      </c>
      <c r="B954" s="12" t="s">
        <v>525</v>
      </c>
      <c r="C954" s="12" t="str">
        <f t="shared" si="39"/>
        <v>140502</v>
      </c>
      <c r="D954" s="12" t="str">
        <f>"14.140502/2024.01289/BC.O."</f>
        <v>14.140502/2024.01289/BC.O.</v>
      </c>
      <c r="E954" s="12" t="str">
        <f>"1991216927"</f>
        <v>1991216927</v>
      </c>
      <c r="F954" s="12" t="str">
        <f>"TRATADO/DE PSIQUIATRIA"</f>
        <v>TRATADO/DE PSIQUIATRIA</v>
      </c>
      <c r="G954" s="12" t="s">
        <v>19</v>
      </c>
      <c r="H954" s="12" t="s">
        <v>20</v>
      </c>
      <c r="I954" s="16">
        <v>1</v>
      </c>
      <c r="J954" s="12" t="s">
        <v>21</v>
      </c>
      <c r="K954" s="12" t="s">
        <v>22</v>
      </c>
      <c r="L954" s="13">
        <v>30</v>
      </c>
    </row>
    <row r="955" spans="1:12" s="10" customFormat="1" ht="18" x14ac:dyDescent="0.25">
      <c r="A955" s="11">
        <v>951</v>
      </c>
      <c r="B955" s="12" t="s">
        <v>525</v>
      </c>
      <c r="C955" s="12" t="str">
        <f t="shared" si="39"/>
        <v>140502</v>
      </c>
      <c r="D955" s="12" t="str">
        <f>"14.140502/2024.01292/BC.O."</f>
        <v>14.140502/2024.01292/BC.O.</v>
      </c>
      <c r="E955" s="12" t="str">
        <f>"1993205390"</f>
        <v>1993205390</v>
      </c>
      <c r="F955" s="12" t="str">
        <f>"LIBRO/DE CONSULTA"</f>
        <v>LIBRO/DE CONSULTA</v>
      </c>
      <c r="G955" s="12" t="s">
        <v>19</v>
      </c>
      <c r="H955" s="12" t="s">
        <v>20</v>
      </c>
      <c r="I955" s="16">
        <v>1</v>
      </c>
      <c r="J955" s="12" t="s">
        <v>21</v>
      </c>
      <c r="K955" s="12" t="s">
        <v>22</v>
      </c>
      <c r="L955" s="13">
        <v>30</v>
      </c>
    </row>
    <row r="956" spans="1:12" s="10" customFormat="1" ht="18" x14ac:dyDescent="0.25">
      <c r="A956" s="11">
        <v>952</v>
      </c>
      <c r="B956" s="12" t="s">
        <v>525</v>
      </c>
      <c r="C956" s="12" t="str">
        <f t="shared" si="39"/>
        <v>140502</v>
      </c>
      <c r="D956" s="12" t="str">
        <f>"14.140502/2024.01294/BC.O."</f>
        <v>14.140502/2024.01294/BC.O.</v>
      </c>
      <c r="E956" s="12" t="str">
        <f>"1993205392"</f>
        <v>1993205392</v>
      </c>
      <c r="F956" s="12" t="str">
        <f>"SISTEMA/MUSCULOESQUELETICO"</f>
        <v>SISTEMA/MUSCULOESQUELETICO</v>
      </c>
      <c r="G956" s="12" t="s">
        <v>19</v>
      </c>
      <c r="H956" s="12" t="s">
        <v>20</v>
      </c>
      <c r="I956" s="16">
        <v>1</v>
      </c>
      <c r="J956" s="12" t="s">
        <v>21</v>
      </c>
      <c r="K956" s="12" t="s">
        <v>22</v>
      </c>
      <c r="L956" s="13">
        <v>30</v>
      </c>
    </row>
    <row r="957" spans="1:12" s="10" customFormat="1" ht="18" x14ac:dyDescent="0.25">
      <c r="A957" s="11">
        <v>953</v>
      </c>
      <c r="B957" s="12" t="s">
        <v>525</v>
      </c>
      <c r="C957" s="12" t="str">
        <f t="shared" si="39"/>
        <v>140502</v>
      </c>
      <c r="D957" s="12" t="str">
        <f>"14.140502/2024.01320/BC.O."</f>
        <v>14.140502/2024.01320/BC.O.</v>
      </c>
      <c r="E957" s="12" t="str">
        <f>"1994022844"</f>
        <v>1994022844</v>
      </c>
      <c r="F957" s="12" t="str">
        <f>"MESA/HIDRAULICA PARA OPERACIONES"</f>
        <v>MESA/HIDRAULICA PARA OPERACIONES</v>
      </c>
      <c r="G957" s="12" t="s">
        <v>19</v>
      </c>
      <c r="H957" s="12" t="s">
        <v>20</v>
      </c>
      <c r="I957" s="16">
        <v>1</v>
      </c>
      <c r="J957" s="12" t="s">
        <v>21</v>
      </c>
      <c r="K957" s="12" t="s">
        <v>22</v>
      </c>
      <c r="L957" s="13">
        <v>1500</v>
      </c>
    </row>
    <row r="958" spans="1:12" s="10" customFormat="1" ht="18" x14ac:dyDescent="0.25">
      <c r="A958" s="11">
        <v>954</v>
      </c>
      <c r="B958" s="12" t="s">
        <v>525</v>
      </c>
      <c r="C958" s="12" t="str">
        <f t="shared" si="39"/>
        <v>140502</v>
      </c>
      <c r="D958" s="12" t="str">
        <f>"14.140502/2024.01321/BC.O."</f>
        <v>14.140502/2024.01321/BC.O.</v>
      </c>
      <c r="E958" s="12" t="str">
        <f>"1994024655"</f>
        <v>1994024655</v>
      </c>
      <c r="F958" s="12" t="str">
        <f>"MESA/HIDRAULICA PARA OPERACIONES"</f>
        <v>MESA/HIDRAULICA PARA OPERACIONES</v>
      </c>
      <c r="G958" s="12" t="s">
        <v>19</v>
      </c>
      <c r="H958" s="12" t="s">
        <v>20</v>
      </c>
      <c r="I958" s="16">
        <v>1</v>
      </c>
      <c r="J958" s="12" t="s">
        <v>21</v>
      </c>
      <c r="K958" s="12" t="s">
        <v>22</v>
      </c>
      <c r="L958" s="13">
        <v>1500</v>
      </c>
    </row>
    <row r="959" spans="1:12" s="10" customFormat="1" ht="18" x14ac:dyDescent="0.25">
      <c r="A959" s="11">
        <v>955</v>
      </c>
      <c r="B959" s="12" t="s">
        <v>525</v>
      </c>
      <c r="C959" s="12" t="str">
        <f t="shared" si="39"/>
        <v>140502</v>
      </c>
      <c r="D959" s="12" t="str">
        <f>"14.140502/2024.01260/BC.O."</f>
        <v>14.140502/2024.01260/BC.O.</v>
      </c>
      <c r="E959" s="12" t="str">
        <f>"1994029642"</f>
        <v>1994029642</v>
      </c>
      <c r="F959" s="12" t="str">
        <f>"LAVADOR/DESINFECTADOR"</f>
        <v>LAVADOR/DESINFECTADOR</v>
      </c>
      <c r="G959" s="12" t="s">
        <v>19</v>
      </c>
      <c r="H959" s="12" t="s">
        <v>20</v>
      </c>
      <c r="I959" s="16">
        <v>1</v>
      </c>
      <c r="J959" s="12" t="s">
        <v>21</v>
      </c>
      <c r="K959" s="12" t="s">
        <v>22</v>
      </c>
      <c r="L959" s="13">
        <v>50</v>
      </c>
    </row>
    <row r="960" spans="1:12" s="10" customFormat="1" ht="18" x14ac:dyDescent="0.25">
      <c r="A960" s="11">
        <v>956</v>
      </c>
      <c r="B960" s="12" t="s">
        <v>525</v>
      </c>
      <c r="C960" s="12" t="str">
        <f t="shared" si="39"/>
        <v>140502</v>
      </c>
      <c r="D960" s="12" t="str">
        <f>"14.140502/2024.01290/BC.O."</f>
        <v>14.140502/2024.01290/BC.O.</v>
      </c>
      <c r="E960" s="12" t="str">
        <f>"1996203525"</f>
        <v>1996203525</v>
      </c>
      <c r="F960" s="12" t="str">
        <f>"INTERPRETACION/CONSULTA DE"</f>
        <v>INTERPRETACION/CONSULTA DE</v>
      </c>
      <c r="G960" s="12" t="s">
        <v>19</v>
      </c>
      <c r="H960" s="12" t="s">
        <v>20</v>
      </c>
      <c r="I960" s="16">
        <v>1</v>
      </c>
      <c r="J960" s="12" t="s">
        <v>21</v>
      </c>
      <c r="K960" s="12" t="s">
        <v>22</v>
      </c>
      <c r="L960" s="13">
        <v>30</v>
      </c>
    </row>
    <row r="961" spans="1:12" s="10" customFormat="1" ht="18" x14ac:dyDescent="0.25">
      <c r="A961" s="11">
        <v>957</v>
      </c>
      <c r="B961" s="12" t="s">
        <v>525</v>
      </c>
      <c r="C961" s="12" t="str">
        <f t="shared" si="39"/>
        <v>140502</v>
      </c>
      <c r="D961" s="12" t="str">
        <f>"14.140502/2024.01333/BC.O."</f>
        <v>14.140502/2024.01333/BC.O.</v>
      </c>
      <c r="E961" s="12" t="str">
        <f>"1997001234"</f>
        <v>1997001234</v>
      </c>
      <c r="F961" s="12" t="str">
        <f>"RETINOSCOPIO/REFRACTOSCOPIO"</f>
        <v>RETINOSCOPIO/REFRACTOSCOPIO</v>
      </c>
      <c r="G961" s="12" t="s">
        <v>19</v>
      </c>
      <c r="H961" s="12" t="s">
        <v>20</v>
      </c>
      <c r="I961" s="16">
        <v>1</v>
      </c>
      <c r="J961" s="12" t="s">
        <v>21</v>
      </c>
      <c r="K961" s="12" t="s">
        <v>22</v>
      </c>
      <c r="L961" s="13">
        <v>100</v>
      </c>
    </row>
    <row r="962" spans="1:12" s="10" customFormat="1" ht="18" x14ac:dyDescent="0.25">
      <c r="A962" s="11">
        <v>958</v>
      </c>
      <c r="B962" s="12" t="s">
        <v>525</v>
      </c>
      <c r="C962" s="12" t="str">
        <f t="shared" si="39"/>
        <v>140502</v>
      </c>
      <c r="D962" s="12" t="str">
        <f>"14.140502/2024.01319/BC.O."</f>
        <v>14.140502/2024.01319/BC.O.</v>
      </c>
      <c r="E962" s="12" t="str">
        <f>"1997038830"</f>
        <v>1997038830</v>
      </c>
      <c r="F962" s="12" t="str">
        <f t="shared" ref="F962:F969" si="40">"CAMA/CLINICA DE POSICIONES"</f>
        <v>CAMA/CLINICA DE POSICIONES</v>
      </c>
      <c r="G962" s="12" t="s">
        <v>19</v>
      </c>
      <c r="H962" s="12" t="s">
        <v>20</v>
      </c>
      <c r="I962" s="16">
        <v>1</v>
      </c>
      <c r="J962" s="12" t="s">
        <v>21</v>
      </c>
      <c r="K962" s="12" t="s">
        <v>22</v>
      </c>
      <c r="L962" s="13">
        <v>150</v>
      </c>
    </row>
    <row r="963" spans="1:12" s="10" customFormat="1" ht="18" x14ac:dyDescent="0.25">
      <c r="A963" s="11">
        <v>959</v>
      </c>
      <c r="B963" s="12" t="s">
        <v>525</v>
      </c>
      <c r="C963" s="12" t="str">
        <f t="shared" si="39"/>
        <v>140502</v>
      </c>
      <c r="D963" s="12" t="str">
        <f>"14.140502/2024.01318/BC.O."</f>
        <v>14.140502/2024.01318/BC.O.</v>
      </c>
      <c r="E963" s="12" t="str">
        <f>"1997038831"</f>
        <v>1997038831</v>
      </c>
      <c r="F963" s="12" t="str">
        <f t="shared" si="40"/>
        <v>CAMA/CLINICA DE POSICIONES</v>
      </c>
      <c r="G963" s="12" t="s">
        <v>19</v>
      </c>
      <c r="H963" s="12" t="s">
        <v>20</v>
      </c>
      <c r="I963" s="16">
        <v>1</v>
      </c>
      <c r="J963" s="12" t="s">
        <v>21</v>
      </c>
      <c r="K963" s="12" t="s">
        <v>22</v>
      </c>
      <c r="L963" s="13">
        <v>150</v>
      </c>
    </row>
    <row r="964" spans="1:12" s="10" customFormat="1" ht="18" x14ac:dyDescent="0.25">
      <c r="A964" s="11">
        <v>960</v>
      </c>
      <c r="B964" s="12" t="s">
        <v>525</v>
      </c>
      <c r="C964" s="12" t="str">
        <f t="shared" si="39"/>
        <v>140502</v>
      </c>
      <c r="D964" s="12" t="str">
        <f>"14.140502/2024.01317/BC.O."</f>
        <v>14.140502/2024.01317/BC.O.</v>
      </c>
      <c r="E964" s="12" t="str">
        <f>"1997038832"</f>
        <v>1997038832</v>
      </c>
      <c r="F964" s="12" t="str">
        <f t="shared" si="40"/>
        <v>CAMA/CLINICA DE POSICIONES</v>
      </c>
      <c r="G964" s="12" t="s">
        <v>19</v>
      </c>
      <c r="H964" s="12" t="s">
        <v>20</v>
      </c>
      <c r="I964" s="16">
        <v>1</v>
      </c>
      <c r="J964" s="12" t="s">
        <v>21</v>
      </c>
      <c r="K964" s="12" t="s">
        <v>22</v>
      </c>
      <c r="L964" s="13">
        <v>150</v>
      </c>
    </row>
    <row r="965" spans="1:12" s="10" customFormat="1" ht="18" x14ac:dyDescent="0.25">
      <c r="A965" s="11">
        <v>961</v>
      </c>
      <c r="B965" s="12" t="s">
        <v>525</v>
      </c>
      <c r="C965" s="12" t="str">
        <f t="shared" si="39"/>
        <v>140502</v>
      </c>
      <c r="D965" s="12" t="str">
        <f>"14.140502/2024.01329/BC.O."</f>
        <v>14.140502/2024.01329/BC.O.</v>
      </c>
      <c r="E965" s="12" t="str">
        <f>"1997038833"</f>
        <v>1997038833</v>
      </c>
      <c r="F965" s="12" t="str">
        <f t="shared" si="40"/>
        <v>CAMA/CLINICA DE POSICIONES</v>
      </c>
      <c r="G965" s="12" t="s">
        <v>19</v>
      </c>
      <c r="H965" s="12" t="s">
        <v>20</v>
      </c>
      <c r="I965" s="16">
        <v>1</v>
      </c>
      <c r="J965" s="12" t="s">
        <v>21</v>
      </c>
      <c r="K965" s="12" t="s">
        <v>22</v>
      </c>
      <c r="L965" s="13">
        <v>150</v>
      </c>
    </row>
    <row r="966" spans="1:12" s="10" customFormat="1" ht="18" x14ac:dyDescent="0.25">
      <c r="A966" s="11">
        <v>962</v>
      </c>
      <c r="B966" s="12" t="s">
        <v>525</v>
      </c>
      <c r="C966" s="12" t="str">
        <f t="shared" si="39"/>
        <v>140502</v>
      </c>
      <c r="D966" s="12" t="str">
        <f>"14.140502/2024.01330/BC.O."</f>
        <v>14.140502/2024.01330/BC.O.</v>
      </c>
      <c r="E966" s="12" t="str">
        <f>"1997038834"</f>
        <v>1997038834</v>
      </c>
      <c r="F966" s="12" t="str">
        <f t="shared" si="40"/>
        <v>CAMA/CLINICA DE POSICIONES</v>
      </c>
      <c r="G966" s="12" t="s">
        <v>19</v>
      </c>
      <c r="H966" s="12" t="s">
        <v>20</v>
      </c>
      <c r="I966" s="16">
        <v>1</v>
      </c>
      <c r="J966" s="12" t="s">
        <v>21</v>
      </c>
      <c r="K966" s="12" t="s">
        <v>22</v>
      </c>
      <c r="L966" s="13">
        <v>150</v>
      </c>
    </row>
    <row r="967" spans="1:12" s="10" customFormat="1" ht="18" x14ac:dyDescent="0.25">
      <c r="A967" s="11">
        <v>963</v>
      </c>
      <c r="B967" s="12" t="s">
        <v>525</v>
      </c>
      <c r="C967" s="12" t="str">
        <f t="shared" si="39"/>
        <v>140502</v>
      </c>
      <c r="D967" s="12" t="str">
        <f>"14.140502/2024.01332/BC.O."</f>
        <v>14.140502/2024.01332/BC.O.</v>
      </c>
      <c r="E967" s="12" t="str">
        <f>"1997038837"</f>
        <v>1997038837</v>
      </c>
      <c r="F967" s="12" t="str">
        <f t="shared" si="40"/>
        <v>CAMA/CLINICA DE POSICIONES</v>
      </c>
      <c r="G967" s="12" t="s">
        <v>19</v>
      </c>
      <c r="H967" s="12" t="s">
        <v>20</v>
      </c>
      <c r="I967" s="16">
        <v>1</v>
      </c>
      <c r="J967" s="12" t="s">
        <v>21</v>
      </c>
      <c r="K967" s="12" t="s">
        <v>22</v>
      </c>
      <c r="L967" s="13">
        <v>150</v>
      </c>
    </row>
    <row r="968" spans="1:12" s="10" customFormat="1" ht="18" x14ac:dyDescent="0.25">
      <c r="A968" s="11">
        <v>964</v>
      </c>
      <c r="B968" s="12" t="s">
        <v>525</v>
      </c>
      <c r="C968" s="12" t="str">
        <f t="shared" si="39"/>
        <v>140502</v>
      </c>
      <c r="D968" s="12" t="str">
        <f>"14.140502/2024.01331/BC.O."</f>
        <v>14.140502/2024.01331/BC.O.</v>
      </c>
      <c r="E968" s="12" t="str">
        <f>"1997038840"</f>
        <v>1997038840</v>
      </c>
      <c r="F968" s="12" t="str">
        <f t="shared" si="40"/>
        <v>CAMA/CLINICA DE POSICIONES</v>
      </c>
      <c r="G968" s="12" t="s">
        <v>19</v>
      </c>
      <c r="H968" s="12" t="s">
        <v>20</v>
      </c>
      <c r="I968" s="16">
        <v>1</v>
      </c>
      <c r="J968" s="12" t="s">
        <v>21</v>
      </c>
      <c r="K968" s="12" t="s">
        <v>22</v>
      </c>
      <c r="L968" s="13">
        <v>150</v>
      </c>
    </row>
    <row r="969" spans="1:12" s="10" customFormat="1" ht="18" x14ac:dyDescent="0.25">
      <c r="A969" s="11">
        <v>965</v>
      </c>
      <c r="B969" s="12" t="s">
        <v>525</v>
      </c>
      <c r="C969" s="12" t="str">
        <f t="shared" si="39"/>
        <v>140502</v>
      </c>
      <c r="D969" s="12" t="str">
        <f>"14.140502/2024.01328/BC.O."</f>
        <v>14.140502/2024.01328/BC.O.</v>
      </c>
      <c r="E969" s="12" t="str">
        <f>"1997038841"</f>
        <v>1997038841</v>
      </c>
      <c r="F969" s="12" t="str">
        <f t="shared" si="40"/>
        <v>CAMA/CLINICA DE POSICIONES</v>
      </c>
      <c r="G969" s="12" t="s">
        <v>19</v>
      </c>
      <c r="H969" s="12" t="s">
        <v>20</v>
      </c>
      <c r="I969" s="16">
        <v>1</v>
      </c>
      <c r="J969" s="12" t="s">
        <v>21</v>
      </c>
      <c r="K969" s="12" t="s">
        <v>22</v>
      </c>
      <c r="L969" s="13">
        <v>150</v>
      </c>
    </row>
    <row r="970" spans="1:12" s="10" customFormat="1" ht="18" x14ac:dyDescent="0.25">
      <c r="A970" s="11">
        <v>966</v>
      </c>
      <c r="B970" s="12" t="s">
        <v>525</v>
      </c>
      <c r="C970" s="12" t="str">
        <f t="shared" si="39"/>
        <v>140502</v>
      </c>
      <c r="D970" s="12" t="str">
        <f>"14.140502/2024.01252/BC.O."</f>
        <v>14.140502/2024.01252/BC.O.</v>
      </c>
      <c r="E970" s="12" t="str">
        <f>"1999026586"</f>
        <v>1999026586</v>
      </c>
      <c r="F970" s="12" t="str">
        <f>"VENTILADOR/VOLUMETRICO"</f>
        <v>VENTILADOR/VOLUMETRICO</v>
      </c>
      <c r="G970" s="12" t="s">
        <v>19</v>
      </c>
      <c r="H970" s="12" t="s">
        <v>20</v>
      </c>
      <c r="I970" s="16">
        <v>1</v>
      </c>
      <c r="J970" s="12" t="s">
        <v>21</v>
      </c>
      <c r="K970" s="12" t="s">
        <v>22</v>
      </c>
      <c r="L970" s="13">
        <v>50</v>
      </c>
    </row>
    <row r="971" spans="1:12" s="10" customFormat="1" ht="18" x14ac:dyDescent="0.25">
      <c r="A971" s="11">
        <v>967</v>
      </c>
      <c r="B971" s="12" t="s">
        <v>525</v>
      </c>
      <c r="C971" s="12" t="str">
        <f t="shared" si="39"/>
        <v>140502</v>
      </c>
      <c r="D971" s="12" t="str">
        <f>"14.140502/2024.01256/BC.O."</f>
        <v>14.140502/2024.01256/BC.O.</v>
      </c>
      <c r="E971" s="12" t="str">
        <f>"1999026649"</f>
        <v>1999026649</v>
      </c>
      <c r="F971" s="12" t="str">
        <f>"VENTILADOR/PARA RECIEN NACIDO"</f>
        <v>VENTILADOR/PARA RECIEN NACIDO</v>
      </c>
      <c r="G971" s="12" t="s">
        <v>19</v>
      </c>
      <c r="H971" s="12" t="s">
        <v>20</v>
      </c>
      <c r="I971" s="16">
        <v>1</v>
      </c>
      <c r="J971" s="12" t="s">
        <v>21</v>
      </c>
      <c r="K971" s="12" t="s">
        <v>22</v>
      </c>
      <c r="L971" s="13">
        <v>50</v>
      </c>
    </row>
    <row r="972" spans="1:12" s="10" customFormat="1" ht="18" x14ac:dyDescent="0.25">
      <c r="A972" s="11">
        <v>968</v>
      </c>
      <c r="B972" s="12" t="s">
        <v>525</v>
      </c>
      <c r="C972" s="12" t="str">
        <f t="shared" si="39"/>
        <v>140502</v>
      </c>
      <c r="D972" s="12" t="str">
        <f>"14.140502/2024.01323/BC.O."</f>
        <v>14.140502/2024.01323/BC.O.</v>
      </c>
      <c r="E972" s="12" t="str">
        <f>"1999035153"</f>
        <v>1999035153</v>
      </c>
      <c r="F972" s="12" t="str">
        <f>"LAVADOR/DESINFECTADOR"</f>
        <v>LAVADOR/DESINFECTADOR</v>
      </c>
      <c r="G972" s="12" t="s">
        <v>19</v>
      </c>
      <c r="H972" s="12" t="s">
        <v>20</v>
      </c>
      <c r="I972" s="16">
        <v>1</v>
      </c>
      <c r="J972" s="12" t="s">
        <v>21</v>
      </c>
      <c r="K972" s="12" t="s">
        <v>22</v>
      </c>
      <c r="L972" s="13">
        <v>50</v>
      </c>
    </row>
    <row r="973" spans="1:12" s="10" customFormat="1" ht="18" x14ac:dyDescent="0.25">
      <c r="A973" s="11">
        <v>969</v>
      </c>
      <c r="B973" s="12" t="s">
        <v>525</v>
      </c>
      <c r="C973" s="12" t="str">
        <f t="shared" si="39"/>
        <v>140502</v>
      </c>
      <c r="D973" s="12" t="str">
        <f>"14.140502/2024.01263/BC.O."</f>
        <v>14.140502/2024.01263/BC.O.</v>
      </c>
      <c r="E973" s="12" t="str">
        <f>"1999035552"</f>
        <v>1999035552</v>
      </c>
      <c r="F973" s="12" t="str">
        <f>"UNIDAD/PARA ASPERSION DE VAPORES"</f>
        <v>UNIDAD/PARA ASPERSION DE VAPORES</v>
      </c>
      <c r="G973" s="12" t="s">
        <v>19</v>
      </c>
      <c r="H973" s="12" t="s">
        <v>20</v>
      </c>
      <c r="I973" s="16">
        <v>1</v>
      </c>
      <c r="J973" s="12" t="s">
        <v>21</v>
      </c>
      <c r="K973" s="12" t="s">
        <v>22</v>
      </c>
      <c r="L973" s="13">
        <v>50</v>
      </c>
    </row>
    <row r="974" spans="1:12" s="10" customFormat="1" ht="18" x14ac:dyDescent="0.25">
      <c r="A974" s="11">
        <v>970</v>
      </c>
      <c r="B974" s="12" t="s">
        <v>525</v>
      </c>
      <c r="C974" s="12" t="str">
        <f t="shared" si="39"/>
        <v>140502</v>
      </c>
      <c r="D974" s="12" t="str">
        <f>"14.140502/2024.01262/BC.O."</f>
        <v>14.140502/2024.01262/BC.O.</v>
      </c>
      <c r="E974" s="12" t="str">
        <f>"1999035553"</f>
        <v>1999035553</v>
      </c>
      <c r="F974" s="12" t="str">
        <f>"UNIDAD/PARA ASPERSION DE VAPORES"</f>
        <v>UNIDAD/PARA ASPERSION DE VAPORES</v>
      </c>
      <c r="G974" s="12" t="s">
        <v>19</v>
      </c>
      <c r="H974" s="12" t="s">
        <v>20</v>
      </c>
      <c r="I974" s="16">
        <v>1</v>
      </c>
      <c r="J974" s="12" t="s">
        <v>21</v>
      </c>
      <c r="K974" s="12" t="s">
        <v>22</v>
      </c>
      <c r="L974" s="13">
        <v>50</v>
      </c>
    </row>
    <row r="975" spans="1:12" s="10" customFormat="1" ht="18" x14ac:dyDescent="0.25">
      <c r="A975" s="11">
        <v>971</v>
      </c>
      <c r="B975" s="12" t="s">
        <v>525</v>
      </c>
      <c r="C975" s="12" t="str">
        <f t="shared" si="39"/>
        <v>140502</v>
      </c>
      <c r="D975" s="12" t="str">
        <f>"14.140502/2024.01273/BC.O."</f>
        <v>14.140502/2024.01273/BC.O.</v>
      </c>
      <c r="E975" s="12" t="str">
        <f>"2000001054"</f>
        <v>2000001054</v>
      </c>
      <c r="F975" s="12" t="str">
        <f>"MUEBLE/ESPECIALES"</f>
        <v>MUEBLE/ESPECIALES</v>
      </c>
      <c r="G975" s="12" t="s">
        <v>19</v>
      </c>
      <c r="H975" s="12" t="s">
        <v>20</v>
      </c>
      <c r="I975" s="16">
        <v>1</v>
      </c>
      <c r="J975" s="12" t="s">
        <v>21</v>
      </c>
      <c r="K975" s="12" t="s">
        <v>22</v>
      </c>
      <c r="L975" s="13">
        <v>50</v>
      </c>
    </row>
    <row r="976" spans="1:12" s="10" customFormat="1" ht="18" x14ac:dyDescent="0.25">
      <c r="A976" s="11">
        <v>972</v>
      </c>
      <c r="B976" s="12" t="s">
        <v>525</v>
      </c>
      <c r="C976" s="12" t="str">
        <f t="shared" si="39"/>
        <v>140502</v>
      </c>
      <c r="D976" s="12" t="str">
        <f>"14.140502/2024.01274/BC.O."</f>
        <v>14.140502/2024.01274/BC.O.</v>
      </c>
      <c r="E976" s="12" t="str">
        <f>"2000001055"</f>
        <v>2000001055</v>
      </c>
      <c r="F976" s="12" t="str">
        <f>"MUEBLE/ESPECIALES"</f>
        <v>MUEBLE/ESPECIALES</v>
      </c>
      <c r="G976" s="12" t="s">
        <v>19</v>
      </c>
      <c r="H976" s="12" t="s">
        <v>20</v>
      </c>
      <c r="I976" s="16">
        <v>1</v>
      </c>
      <c r="J976" s="12" t="s">
        <v>21</v>
      </c>
      <c r="K976" s="12" t="s">
        <v>22</v>
      </c>
      <c r="L976" s="13">
        <v>50</v>
      </c>
    </row>
    <row r="977" spans="1:12" s="10" customFormat="1" ht="18" x14ac:dyDescent="0.25">
      <c r="A977" s="11">
        <v>973</v>
      </c>
      <c r="B977" s="12" t="s">
        <v>525</v>
      </c>
      <c r="C977" s="12" t="str">
        <f t="shared" si="39"/>
        <v>140502</v>
      </c>
      <c r="D977" s="12" t="str">
        <f>"14.140502/2024.01251/BC.O."</f>
        <v>14.140502/2024.01251/BC.O.</v>
      </c>
      <c r="E977" s="12" t="str">
        <f>"2000901357"</f>
        <v>2000901357</v>
      </c>
      <c r="F977" s="12" t="str">
        <f>"VENTILADOR/VOLUMETRICO"</f>
        <v>VENTILADOR/VOLUMETRICO</v>
      </c>
      <c r="G977" s="12" t="s">
        <v>19</v>
      </c>
      <c r="H977" s="12" t="s">
        <v>20</v>
      </c>
      <c r="I977" s="16">
        <v>1</v>
      </c>
      <c r="J977" s="12" t="s">
        <v>21</v>
      </c>
      <c r="K977" s="12" t="s">
        <v>22</v>
      </c>
      <c r="L977" s="13">
        <v>50</v>
      </c>
    </row>
    <row r="978" spans="1:12" s="10" customFormat="1" ht="18" x14ac:dyDescent="0.25">
      <c r="A978" s="11">
        <v>974</v>
      </c>
      <c r="B978" s="12" t="s">
        <v>525</v>
      </c>
      <c r="C978" s="12" t="str">
        <f t="shared" si="39"/>
        <v>140502</v>
      </c>
      <c r="D978" s="12" t="str">
        <f>"14.140502/2024.01322/BC.O."</f>
        <v>14.140502/2024.01322/BC.O.</v>
      </c>
      <c r="E978" s="12" t="str">
        <f>"2000903641"</f>
        <v>2000903641</v>
      </c>
      <c r="F978" s="12" t="str">
        <f>"MESA/OBSTETRICA HIDRAULICA"</f>
        <v>MESA/OBSTETRICA HIDRAULICA</v>
      </c>
      <c r="G978" s="12" t="s">
        <v>19</v>
      </c>
      <c r="H978" s="12" t="s">
        <v>20</v>
      </c>
      <c r="I978" s="16">
        <v>1</v>
      </c>
      <c r="J978" s="12" t="s">
        <v>21</v>
      </c>
      <c r="K978" s="12" t="s">
        <v>22</v>
      </c>
      <c r="L978" s="13">
        <v>1500</v>
      </c>
    </row>
    <row r="979" spans="1:12" s="10" customFormat="1" ht="18" x14ac:dyDescent="0.25">
      <c r="A979" s="11">
        <v>975</v>
      </c>
      <c r="B979" s="12" t="s">
        <v>525</v>
      </c>
      <c r="C979" s="12" t="str">
        <f t="shared" si="39"/>
        <v>140502</v>
      </c>
      <c r="D979" s="12" t="str">
        <f>"14.140502/2024.01259/BC.O."</f>
        <v>14.140502/2024.01259/BC.O.</v>
      </c>
      <c r="E979" s="12" t="str">
        <f>"2000910143"</f>
        <v>2000910143</v>
      </c>
      <c r="F979" s="12" t="str">
        <f>"LAVADOR/DESINFECTADOR"</f>
        <v>LAVADOR/DESINFECTADOR</v>
      </c>
      <c r="G979" s="12" t="s">
        <v>19</v>
      </c>
      <c r="H979" s="12" t="s">
        <v>20</v>
      </c>
      <c r="I979" s="16">
        <v>1</v>
      </c>
      <c r="J979" s="12" t="s">
        <v>21</v>
      </c>
      <c r="K979" s="12" t="s">
        <v>22</v>
      </c>
      <c r="L979" s="13">
        <v>50</v>
      </c>
    </row>
    <row r="980" spans="1:12" s="10" customFormat="1" ht="18" x14ac:dyDescent="0.25">
      <c r="A980" s="11">
        <v>976</v>
      </c>
      <c r="B980" s="12" t="s">
        <v>525</v>
      </c>
      <c r="C980" s="12" t="str">
        <f t="shared" si="39"/>
        <v>140502</v>
      </c>
      <c r="D980" s="12" t="str">
        <f>"14.140502/2024.01258/BC.O."</f>
        <v>14.140502/2024.01258/BC.O.</v>
      </c>
      <c r="E980" s="12" t="str">
        <f>"2000910144"</f>
        <v>2000910144</v>
      </c>
      <c r="F980" s="12" t="str">
        <f>"LAVADOR/DESINFECTADOR"</f>
        <v>LAVADOR/DESINFECTADOR</v>
      </c>
      <c r="G980" s="12" t="s">
        <v>19</v>
      </c>
      <c r="H980" s="12" t="s">
        <v>20</v>
      </c>
      <c r="I980" s="16">
        <v>1</v>
      </c>
      <c r="J980" s="12" t="s">
        <v>21</v>
      </c>
      <c r="K980" s="12" t="s">
        <v>22</v>
      </c>
      <c r="L980" s="13">
        <v>50</v>
      </c>
    </row>
    <row r="981" spans="1:12" s="10" customFormat="1" ht="18" x14ac:dyDescent="0.25">
      <c r="A981" s="11">
        <v>977</v>
      </c>
      <c r="B981" s="12" t="s">
        <v>525</v>
      </c>
      <c r="C981" s="12" t="str">
        <f t="shared" si="39"/>
        <v>140502</v>
      </c>
      <c r="D981" s="12" t="str">
        <f>"14.140502/2024.01277/BC.O."</f>
        <v>14.140502/2024.01277/BC.O.</v>
      </c>
      <c r="E981" s="12" t="str">
        <f>"2000919113"</f>
        <v>2000919113</v>
      </c>
      <c r="F981" s="12" t="str">
        <f>"LICUADORA/INDUSTRIAL"</f>
        <v>LICUADORA/INDUSTRIAL</v>
      </c>
      <c r="G981" s="12" t="s">
        <v>19</v>
      </c>
      <c r="H981" s="12" t="s">
        <v>20</v>
      </c>
      <c r="I981" s="16">
        <v>1</v>
      </c>
      <c r="J981" s="12" t="s">
        <v>21</v>
      </c>
      <c r="K981" s="12" t="s">
        <v>22</v>
      </c>
      <c r="L981" s="13">
        <v>50</v>
      </c>
    </row>
    <row r="982" spans="1:12" s="10" customFormat="1" ht="18" x14ac:dyDescent="0.25">
      <c r="A982" s="11">
        <v>978</v>
      </c>
      <c r="B982" s="12" t="s">
        <v>525</v>
      </c>
      <c r="C982" s="12" t="str">
        <f t="shared" si="39"/>
        <v>140502</v>
      </c>
      <c r="D982" s="12" t="str">
        <f>"14.140502/2024.01336/BC.O."</f>
        <v>14.140502/2024.01336/BC.O.</v>
      </c>
      <c r="E982" s="12" t="str">
        <f>"2000930458"</f>
        <v>2000930458</v>
      </c>
      <c r="F982" s="12" t="str">
        <f>"LAMPARA/DE EMERGENCIA PARA CIRUGIA"</f>
        <v>LAMPARA/DE EMERGENCIA PARA CIRUGIA</v>
      </c>
      <c r="G982" s="12" t="s">
        <v>19</v>
      </c>
      <c r="H982" s="12" t="s">
        <v>20</v>
      </c>
      <c r="I982" s="16">
        <v>1</v>
      </c>
      <c r="J982" s="12" t="s">
        <v>21</v>
      </c>
      <c r="K982" s="12" t="s">
        <v>22</v>
      </c>
      <c r="L982" s="13">
        <v>150</v>
      </c>
    </row>
    <row r="983" spans="1:12" s="10" customFormat="1" ht="18" x14ac:dyDescent="0.25">
      <c r="A983" s="11">
        <v>979</v>
      </c>
      <c r="B983" s="12" t="s">
        <v>525</v>
      </c>
      <c r="C983" s="12" t="str">
        <f t="shared" si="39"/>
        <v>140502</v>
      </c>
      <c r="D983" s="12" t="str">
        <f>"14.140502/2024.01272/BC.O."</f>
        <v>14.140502/2024.01272/BC.O.</v>
      </c>
      <c r="E983" s="12" t="str">
        <f>"2000947599"</f>
        <v>2000947599</v>
      </c>
      <c r="F983" s="12" t="str">
        <f>"MUEBLE/ESPECIALES"</f>
        <v>MUEBLE/ESPECIALES</v>
      </c>
      <c r="G983" s="12" t="s">
        <v>19</v>
      </c>
      <c r="H983" s="12" t="s">
        <v>20</v>
      </c>
      <c r="I983" s="16">
        <v>1</v>
      </c>
      <c r="J983" s="12" t="s">
        <v>21</v>
      </c>
      <c r="K983" s="12" t="s">
        <v>22</v>
      </c>
      <c r="L983" s="13">
        <v>50</v>
      </c>
    </row>
    <row r="984" spans="1:12" s="10" customFormat="1" ht="18" x14ac:dyDescent="0.25">
      <c r="A984" s="11">
        <v>980</v>
      </c>
      <c r="B984" s="12" t="s">
        <v>525</v>
      </c>
      <c r="C984" s="12" t="str">
        <f t="shared" si="39"/>
        <v>140502</v>
      </c>
      <c r="D984" s="12" t="str">
        <f>"14.140502/2024.01271/BC.O."</f>
        <v>14.140502/2024.01271/BC.O.</v>
      </c>
      <c r="E984" s="12" t="str">
        <f>"2000947600"</f>
        <v>2000947600</v>
      </c>
      <c r="F984" s="12" t="str">
        <f>"MUEBLE/ESPECIALES"</f>
        <v>MUEBLE/ESPECIALES</v>
      </c>
      <c r="G984" s="12" t="s">
        <v>19</v>
      </c>
      <c r="H984" s="12" t="s">
        <v>20</v>
      </c>
      <c r="I984" s="16">
        <v>1</v>
      </c>
      <c r="J984" s="12" t="s">
        <v>21</v>
      </c>
      <c r="K984" s="12" t="s">
        <v>22</v>
      </c>
      <c r="L984" s="13">
        <v>50</v>
      </c>
    </row>
    <row r="985" spans="1:12" s="10" customFormat="1" ht="18" x14ac:dyDescent="0.25">
      <c r="A985" s="11">
        <v>981</v>
      </c>
      <c r="B985" s="12" t="s">
        <v>525</v>
      </c>
      <c r="C985" s="12" t="str">
        <f t="shared" si="39"/>
        <v>140502</v>
      </c>
      <c r="D985" s="12" t="str">
        <f>"14.140502/2024.01270/BC.O."</f>
        <v>14.140502/2024.01270/BC.O.</v>
      </c>
      <c r="E985" s="12" t="str">
        <f>"2000947601"</f>
        <v>2000947601</v>
      </c>
      <c r="F985" s="12" t="str">
        <f>"MUEBLE/ESPECIALES"</f>
        <v>MUEBLE/ESPECIALES</v>
      </c>
      <c r="G985" s="12" t="s">
        <v>19</v>
      </c>
      <c r="H985" s="12" t="s">
        <v>20</v>
      </c>
      <c r="I985" s="16">
        <v>1</v>
      </c>
      <c r="J985" s="12" t="s">
        <v>21</v>
      </c>
      <c r="K985" s="12" t="s">
        <v>22</v>
      </c>
      <c r="L985" s="13">
        <v>50</v>
      </c>
    </row>
    <row r="986" spans="1:12" s="10" customFormat="1" ht="18" x14ac:dyDescent="0.25">
      <c r="A986" s="11">
        <v>982</v>
      </c>
      <c r="B986" s="12" t="s">
        <v>525</v>
      </c>
      <c r="C986" s="12" t="str">
        <f t="shared" si="39"/>
        <v>140502</v>
      </c>
      <c r="D986" s="12" t="str">
        <f>"14.140502/2024.01269/BC.O."</f>
        <v>14.140502/2024.01269/BC.O.</v>
      </c>
      <c r="E986" s="12" t="str">
        <f>"2000949043"</f>
        <v>2000949043</v>
      </c>
      <c r="F986" s="12" t="str">
        <f>"MUEBLE/ESPECIALES"</f>
        <v>MUEBLE/ESPECIALES</v>
      </c>
      <c r="G986" s="12" t="s">
        <v>19</v>
      </c>
      <c r="H986" s="12" t="s">
        <v>20</v>
      </c>
      <c r="I986" s="16">
        <v>1</v>
      </c>
      <c r="J986" s="12" t="s">
        <v>21</v>
      </c>
      <c r="K986" s="12" t="s">
        <v>22</v>
      </c>
      <c r="L986" s="13">
        <v>50</v>
      </c>
    </row>
    <row r="987" spans="1:12" s="10" customFormat="1" ht="18" x14ac:dyDescent="0.25">
      <c r="A987" s="11">
        <v>983</v>
      </c>
      <c r="B987" s="12" t="s">
        <v>525</v>
      </c>
      <c r="C987" s="12" t="str">
        <f t="shared" si="39"/>
        <v>140502</v>
      </c>
      <c r="D987" s="12" t="str">
        <f>"14.140502/2024.01268/BC.O."</f>
        <v>14.140502/2024.01268/BC.O.</v>
      </c>
      <c r="E987" s="12" t="str">
        <f>"2000949394"</f>
        <v>2000949394</v>
      </c>
      <c r="F987" s="12" t="str">
        <f>"MUEBLE/ESPECIALES"</f>
        <v>MUEBLE/ESPECIALES</v>
      </c>
      <c r="G987" s="12" t="s">
        <v>19</v>
      </c>
      <c r="H987" s="12" t="s">
        <v>20</v>
      </c>
      <c r="I987" s="16">
        <v>1</v>
      </c>
      <c r="J987" s="12" t="s">
        <v>21</v>
      </c>
      <c r="K987" s="12" t="s">
        <v>22</v>
      </c>
      <c r="L987" s="13">
        <v>50</v>
      </c>
    </row>
    <row r="988" spans="1:12" s="10" customFormat="1" ht="18" x14ac:dyDescent="0.25">
      <c r="A988" s="11">
        <v>984</v>
      </c>
      <c r="B988" s="12" t="s">
        <v>525</v>
      </c>
      <c r="C988" s="12" t="str">
        <f t="shared" si="39"/>
        <v>140502</v>
      </c>
      <c r="D988" s="12" t="str">
        <f>"14.140502/2024.01288/BC.O."</f>
        <v>14.140502/2024.01288/BC.O.</v>
      </c>
      <c r="E988" s="12" t="str">
        <f>"2000992164"</f>
        <v>2000992164</v>
      </c>
      <c r="F988" s="12" t="str">
        <f>"COLECCION/DE LIBROS"</f>
        <v>COLECCION/DE LIBROS</v>
      </c>
      <c r="G988" s="12" t="s">
        <v>19</v>
      </c>
      <c r="H988" s="12" t="s">
        <v>20</v>
      </c>
      <c r="I988" s="16">
        <v>1</v>
      </c>
      <c r="J988" s="12" t="s">
        <v>21</v>
      </c>
      <c r="K988" s="12" t="s">
        <v>22</v>
      </c>
      <c r="L988" s="13">
        <v>50</v>
      </c>
    </row>
    <row r="989" spans="1:12" s="10" customFormat="1" ht="18" x14ac:dyDescent="0.25">
      <c r="A989" s="11">
        <v>985</v>
      </c>
      <c r="B989" s="12" t="s">
        <v>525</v>
      </c>
      <c r="C989" s="12" t="str">
        <f t="shared" si="39"/>
        <v>140502</v>
      </c>
      <c r="D989" s="12" t="str">
        <f>"14.140502/2024.01254/BC.O."</f>
        <v>14.140502/2024.01254/BC.O.</v>
      </c>
      <c r="E989" s="12" t="str">
        <f>"2001902586"</f>
        <v>2001902586</v>
      </c>
      <c r="F989" s="12" t="str">
        <f>"VENTILADOR/PARA RECIEN NACIDO"</f>
        <v>VENTILADOR/PARA RECIEN NACIDO</v>
      </c>
      <c r="G989" s="12" t="s">
        <v>19</v>
      </c>
      <c r="H989" s="12" t="s">
        <v>20</v>
      </c>
      <c r="I989" s="16">
        <v>1</v>
      </c>
      <c r="J989" s="12" t="s">
        <v>21</v>
      </c>
      <c r="K989" s="12" t="s">
        <v>22</v>
      </c>
      <c r="L989" s="13">
        <v>50</v>
      </c>
    </row>
    <row r="990" spans="1:12" s="10" customFormat="1" ht="18" x14ac:dyDescent="0.25">
      <c r="A990" s="11">
        <v>986</v>
      </c>
      <c r="B990" s="12" t="s">
        <v>525</v>
      </c>
      <c r="C990" s="12" t="str">
        <f t="shared" si="39"/>
        <v>140502</v>
      </c>
      <c r="D990" s="12" t="str">
        <f>"14.140502/2024.01257/BC.O."</f>
        <v>14.140502/2024.01257/BC.O.</v>
      </c>
      <c r="E990" s="12" t="str">
        <f>"2001904598"</f>
        <v>2001904598</v>
      </c>
      <c r="F990" s="12" t="str">
        <f>"VENTILADOR/VOLUMETRICO"</f>
        <v>VENTILADOR/VOLUMETRICO</v>
      </c>
      <c r="G990" s="12" t="s">
        <v>19</v>
      </c>
      <c r="H990" s="12" t="s">
        <v>20</v>
      </c>
      <c r="I990" s="16">
        <v>1</v>
      </c>
      <c r="J990" s="12" t="s">
        <v>21</v>
      </c>
      <c r="K990" s="12" t="s">
        <v>22</v>
      </c>
      <c r="L990" s="13">
        <v>50</v>
      </c>
    </row>
    <row r="991" spans="1:12" s="10" customFormat="1" ht="18" x14ac:dyDescent="0.25">
      <c r="A991" s="11">
        <v>987</v>
      </c>
      <c r="B991" s="12" t="s">
        <v>525</v>
      </c>
      <c r="C991" s="12" t="str">
        <f t="shared" si="39"/>
        <v>140502</v>
      </c>
      <c r="D991" s="12" t="str">
        <f>"14.140502/2024.01285/BC.O."</f>
        <v>14.140502/2024.01285/BC.O.</v>
      </c>
      <c r="E991" s="12" t="str">
        <f>"2001904712"</f>
        <v>2001904712</v>
      </c>
      <c r="F991" s="12" t="str">
        <f>"BABYTHERM,CUNA CALIENTE/DE CALOR RADIANTE"</f>
        <v>BABYTHERM,CUNA CALIENTE/DE CALOR RADIANTE</v>
      </c>
      <c r="G991" s="12" t="s">
        <v>19</v>
      </c>
      <c r="H991" s="12" t="s">
        <v>20</v>
      </c>
      <c r="I991" s="16">
        <v>1</v>
      </c>
      <c r="J991" s="12" t="s">
        <v>21</v>
      </c>
      <c r="K991" s="12" t="s">
        <v>22</v>
      </c>
      <c r="L991" s="13">
        <v>450</v>
      </c>
    </row>
    <row r="992" spans="1:12" s="10" customFormat="1" ht="18" x14ac:dyDescent="0.25">
      <c r="A992" s="11">
        <v>988</v>
      </c>
      <c r="B992" s="12" t="s">
        <v>525</v>
      </c>
      <c r="C992" s="12" t="str">
        <f t="shared" si="39"/>
        <v>140502</v>
      </c>
      <c r="D992" s="12" t="str">
        <f>"14.140502/2024.01286/BC.O."</f>
        <v>14.140502/2024.01286/BC.O.</v>
      </c>
      <c r="E992" s="12" t="str">
        <f>"2001904714"</f>
        <v>2001904714</v>
      </c>
      <c r="F992" s="12" t="str">
        <f>"BABYTHERM,CUNA CALIENTE/DE CALOR RADIANTE"</f>
        <v>BABYTHERM,CUNA CALIENTE/DE CALOR RADIANTE</v>
      </c>
      <c r="G992" s="12" t="s">
        <v>19</v>
      </c>
      <c r="H992" s="12" t="s">
        <v>20</v>
      </c>
      <c r="I992" s="16">
        <v>1</v>
      </c>
      <c r="J992" s="12" t="s">
        <v>21</v>
      </c>
      <c r="K992" s="12" t="s">
        <v>22</v>
      </c>
      <c r="L992" s="13">
        <v>450</v>
      </c>
    </row>
    <row r="993" spans="1:12" s="10" customFormat="1" ht="18" x14ac:dyDescent="0.25">
      <c r="A993" s="11">
        <v>989</v>
      </c>
      <c r="B993" s="12" t="s">
        <v>525</v>
      </c>
      <c r="C993" s="12" t="str">
        <f t="shared" si="39"/>
        <v>140502</v>
      </c>
      <c r="D993" s="12" t="str">
        <f>"14.140502/2024.01327/BC.O."</f>
        <v>14.140502/2024.01327/BC.O.</v>
      </c>
      <c r="E993" s="12" t="str">
        <f>"2001996320"</f>
        <v>2001996320</v>
      </c>
      <c r="F993" s="12" t="str">
        <f>"ESCRITORIO/METALICO PARA MEDICO"</f>
        <v>ESCRITORIO/METALICO PARA MEDICO</v>
      </c>
      <c r="G993" s="12" t="s">
        <v>19</v>
      </c>
      <c r="H993" s="12" t="s">
        <v>20</v>
      </c>
      <c r="I993" s="16">
        <v>1</v>
      </c>
      <c r="J993" s="12" t="s">
        <v>21</v>
      </c>
      <c r="K993" s="12" t="s">
        <v>22</v>
      </c>
      <c r="L993" s="13">
        <v>50</v>
      </c>
    </row>
    <row r="994" spans="1:12" s="10" customFormat="1" ht="27" x14ac:dyDescent="0.25">
      <c r="A994" s="11">
        <v>990</v>
      </c>
      <c r="B994" s="12" t="s">
        <v>525</v>
      </c>
      <c r="C994" s="12" t="str">
        <f t="shared" si="39"/>
        <v>140502</v>
      </c>
      <c r="D994" s="12" t="str">
        <f>"14.140502/2024.01275/BC.O."</f>
        <v>14.140502/2024.01275/BC.O.</v>
      </c>
      <c r="E994" s="12" t="str">
        <f>"2002901684"</f>
        <v>2002901684</v>
      </c>
      <c r="F994" s="12" t="str">
        <f>"APARATO DE ULTRASONIDO/GINECO/OBSTETRICO ABDOMINAL"</f>
        <v>APARATO DE ULTRASONIDO/GINECO/OBSTETRICO ABDOMINAL</v>
      </c>
      <c r="G994" s="12" t="s">
        <v>19</v>
      </c>
      <c r="H994" s="12" t="s">
        <v>20</v>
      </c>
      <c r="I994" s="16">
        <v>1</v>
      </c>
      <c r="J994" s="12" t="s">
        <v>21</v>
      </c>
      <c r="K994" s="12" t="s">
        <v>22</v>
      </c>
      <c r="L994" s="13">
        <v>200</v>
      </c>
    </row>
    <row r="995" spans="1:12" s="10" customFormat="1" ht="27" x14ac:dyDescent="0.25">
      <c r="A995" s="11">
        <v>991</v>
      </c>
      <c r="B995" s="12" t="s">
        <v>525</v>
      </c>
      <c r="C995" s="12" t="str">
        <f t="shared" si="39"/>
        <v>140502</v>
      </c>
      <c r="D995" s="12" t="str">
        <f>"14.140502/2024.01276/BC.O."</f>
        <v>14.140502/2024.01276/BC.O.</v>
      </c>
      <c r="E995" s="12" t="str">
        <f>"2002901686"</f>
        <v>2002901686</v>
      </c>
      <c r="F995" s="12" t="str">
        <f>"APARATO DE ULTRASONIDO/GINECO/OBSTETRICO ABDOMINAL"</f>
        <v>APARATO DE ULTRASONIDO/GINECO/OBSTETRICO ABDOMINAL</v>
      </c>
      <c r="G995" s="12" t="s">
        <v>19</v>
      </c>
      <c r="H995" s="12" t="s">
        <v>20</v>
      </c>
      <c r="I995" s="16">
        <v>1</v>
      </c>
      <c r="J995" s="12" t="s">
        <v>21</v>
      </c>
      <c r="K995" s="12" t="s">
        <v>22</v>
      </c>
      <c r="L995" s="13">
        <v>200</v>
      </c>
    </row>
    <row r="996" spans="1:12" s="10" customFormat="1" ht="18" x14ac:dyDescent="0.25">
      <c r="A996" s="11">
        <v>992</v>
      </c>
      <c r="B996" s="12" t="s">
        <v>525</v>
      </c>
      <c r="C996" s="12" t="str">
        <f t="shared" si="39"/>
        <v>140502</v>
      </c>
      <c r="D996" s="12" t="str">
        <f>"14.140502/2024.01282/BC.O."</f>
        <v>14.140502/2024.01282/BC.O.</v>
      </c>
      <c r="E996" s="12" t="str">
        <f>"2002903402"</f>
        <v>2002903402</v>
      </c>
      <c r="F996" s="12" t="str">
        <f>"BABYTHERM,CUNA CALIENTE/DE CALOR RADIANTE"</f>
        <v>BABYTHERM,CUNA CALIENTE/DE CALOR RADIANTE</v>
      </c>
      <c r="G996" s="12" t="s">
        <v>19</v>
      </c>
      <c r="H996" s="12" t="s">
        <v>20</v>
      </c>
      <c r="I996" s="16">
        <v>1</v>
      </c>
      <c r="J996" s="12" t="s">
        <v>21</v>
      </c>
      <c r="K996" s="12" t="s">
        <v>22</v>
      </c>
      <c r="L996" s="13">
        <v>450</v>
      </c>
    </row>
    <row r="997" spans="1:12" s="10" customFormat="1" ht="18" x14ac:dyDescent="0.25">
      <c r="A997" s="11">
        <v>993</v>
      </c>
      <c r="B997" s="12" t="s">
        <v>525</v>
      </c>
      <c r="C997" s="12" t="str">
        <f t="shared" si="39"/>
        <v>140502</v>
      </c>
      <c r="D997" s="12" t="str">
        <f>"14.140502/2024.01338/BC.O."</f>
        <v>14.140502/2024.01338/BC.O.</v>
      </c>
      <c r="E997" s="12" t="str">
        <f>"2002913008"</f>
        <v>2002913008</v>
      </c>
      <c r="F997" s="12" t="str">
        <f>"FOROPTERO/REFRACTOR"</f>
        <v>FOROPTERO/REFRACTOR</v>
      </c>
      <c r="G997" s="12" t="s">
        <v>19</v>
      </c>
      <c r="H997" s="12" t="s">
        <v>20</v>
      </c>
      <c r="I997" s="16">
        <v>1</v>
      </c>
      <c r="J997" s="12" t="s">
        <v>21</v>
      </c>
      <c r="K997" s="12" t="s">
        <v>22</v>
      </c>
      <c r="L997" s="13">
        <v>35</v>
      </c>
    </row>
    <row r="998" spans="1:12" s="10" customFormat="1" ht="18" x14ac:dyDescent="0.25">
      <c r="A998" s="11">
        <v>994</v>
      </c>
      <c r="B998" s="12" t="s">
        <v>525</v>
      </c>
      <c r="C998" s="12" t="str">
        <f t="shared" si="39"/>
        <v>140502</v>
      </c>
      <c r="D998" s="12" t="str">
        <f>"14.140502/2024.01337/BC.O."</f>
        <v>14.140502/2024.01337/BC.O.</v>
      </c>
      <c r="E998" s="12" t="str">
        <f>"2002913009"</f>
        <v>2002913009</v>
      </c>
      <c r="F998" s="12" t="str">
        <f>"FOROPTERO/REFRACTOR"</f>
        <v>FOROPTERO/REFRACTOR</v>
      </c>
      <c r="G998" s="12" t="s">
        <v>19</v>
      </c>
      <c r="H998" s="12" t="s">
        <v>20</v>
      </c>
      <c r="I998" s="16">
        <v>1</v>
      </c>
      <c r="J998" s="12" t="s">
        <v>21</v>
      </c>
      <c r="K998" s="12" t="s">
        <v>22</v>
      </c>
      <c r="L998" s="13">
        <v>35</v>
      </c>
    </row>
    <row r="999" spans="1:12" s="10" customFormat="1" ht="18" x14ac:dyDescent="0.25">
      <c r="A999" s="11">
        <v>995</v>
      </c>
      <c r="B999" s="12" t="s">
        <v>525</v>
      </c>
      <c r="C999" s="12" t="str">
        <f t="shared" si="39"/>
        <v>140502</v>
      </c>
      <c r="D999" s="12" t="str">
        <f>"14.140502/2024.01325/BC.O."</f>
        <v>14.140502/2024.01325/BC.O.</v>
      </c>
      <c r="E999" s="12" t="str">
        <f>"200400032810"</f>
        <v>200400032810</v>
      </c>
      <c r="F999" s="12" t="str">
        <f>"CREDENZA/DE MADERA"</f>
        <v>CREDENZA/DE MADERA</v>
      </c>
      <c r="G999" s="12" t="s">
        <v>19</v>
      </c>
      <c r="H999" s="12" t="s">
        <v>20</v>
      </c>
      <c r="I999" s="16">
        <v>1</v>
      </c>
      <c r="J999" s="12" t="s">
        <v>21</v>
      </c>
      <c r="K999" s="12" t="s">
        <v>22</v>
      </c>
      <c r="L999" s="13">
        <v>40</v>
      </c>
    </row>
    <row r="1000" spans="1:12" s="10" customFormat="1" ht="18" x14ac:dyDescent="0.25">
      <c r="A1000" s="11">
        <v>996</v>
      </c>
      <c r="B1000" s="12" t="s">
        <v>525</v>
      </c>
      <c r="C1000" s="12" t="str">
        <f t="shared" si="39"/>
        <v>140502</v>
      </c>
      <c r="D1000" s="12" t="str">
        <f>"14.140502/2024.01324/BC.O."</f>
        <v>14.140502/2024.01324/BC.O.</v>
      </c>
      <c r="E1000" s="12" t="str">
        <f>"200400032814"</f>
        <v>200400032814</v>
      </c>
      <c r="F1000" s="12" t="str">
        <f>"CREDENZA/DE MADERA"</f>
        <v>CREDENZA/DE MADERA</v>
      </c>
      <c r="G1000" s="12" t="s">
        <v>19</v>
      </c>
      <c r="H1000" s="12" t="s">
        <v>20</v>
      </c>
      <c r="I1000" s="16">
        <v>1</v>
      </c>
      <c r="J1000" s="12" t="s">
        <v>21</v>
      </c>
      <c r="K1000" s="12" t="s">
        <v>22</v>
      </c>
      <c r="L1000" s="13">
        <v>40</v>
      </c>
    </row>
    <row r="1001" spans="1:12" s="10" customFormat="1" ht="18" x14ac:dyDescent="0.25">
      <c r="A1001" s="11">
        <v>997</v>
      </c>
      <c r="B1001" s="12" t="s">
        <v>525</v>
      </c>
      <c r="C1001" s="12" t="str">
        <f t="shared" si="39"/>
        <v>140502</v>
      </c>
      <c r="D1001" s="12" t="str">
        <f>"14.140502/2024.01253/BC.O."</f>
        <v>14.140502/2024.01253/BC.O.</v>
      </c>
      <c r="E1001" s="12" t="str">
        <f>"200490012286"</f>
        <v>200490012286</v>
      </c>
      <c r="F1001" s="12" t="str">
        <f>"VENTILADOR/VOLUMETRICO"</f>
        <v>VENTILADOR/VOLUMETRICO</v>
      </c>
      <c r="G1001" s="12" t="s">
        <v>19</v>
      </c>
      <c r="H1001" s="12" t="s">
        <v>20</v>
      </c>
      <c r="I1001" s="16">
        <v>1</v>
      </c>
      <c r="J1001" s="12" t="s">
        <v>21</v>
      </c>
      <c r="K1001" s="12" t="s">
        <v>22</v>
      </c>
      <c r="L1001" s="13">
        <v>50</v>
      </c>
    </row>
    <row r="1002" spans="1:12" s="10" customFormat="1" ht="18" x14ac:dyDescent="0.25">
      <c r="A1002" s="11">
        <v>998</v>
      </c>
      <c r="B1002" s="12" t="s">
        <v>525</v>
      </c>
      <c r="C1002" s="12" t="str">
        <f t="shared" si="39"/>
        <v>140502</v>
      </c>
      <c r="D1002" s="12" t="str">
        <f>"14.140502/2024.01255/BC.O."</f>
        <v>14.140502/2024.01255/BC.O.</v>
      </c>
      <c r="E1002" s="12" t="str">
        <f>"200490012292"</f>
        <v>200490012292</v>
      </c>
      <c r="F1002" s="12" t="str">
        <f>"VENTILADOR/VOLUMETRICO"</f>
        <v>VENTILADOR/VOLUMETRICO</v>
      </c>
      <c r="G1002" s="12" t="s">
        <v>19</v>
      </c>
      <c r="H1002" s="12" t="s">
        <v>20</v>
      </c>
      <c r="I1002" s="16">
        <v>1</v>
      </c>
      <c r="J1002" s="12" t="s">
        <v>21</v>
      </c>
      <c r="K1002" s="12" t="s">
        <v>22</v>
      </c>
      <c r="L1002" s="13">
        <v>50</v>
      </c>
    </row>
    <row r="1003" spans="1:12" s="10" customFormat="1" ht="18" x14ac:dyDescent="0.25">
      <c r="A1003" s="11">
        <v>999</v>
      </c>
      <c r="B1003" s="12" t="s">
        <v>525</v>
      </c>
      <c r="C1003" s="12" t="str">
        <f t="shared" si="39"/>
        <v>140502</v>
      </c>
      <c r="D1003" s="12" t="str">
        <f>"14.140502/2024.01279/BC.O."</f>
        <v>14.140502/2024.01279/BC.O.</v>
      </c>
      <c r="E1003" s="12" t="str">
        <f>"200600015880"</f>
        <v>200600015880</v>
      </c>
      <c r="F1003" s="12" t="str">
        <f>"VIDEOENDOSCOPIO/PROCESADOR DE IMAGENES"</f>
        <v>VIDEOENDOSCOPIO/PROCESADOR DE IMAGENES</v>
      </c>
      <c r="G1003" s="12" t="s">
        <v>19</v>
      </c>
      <c r="H1003" s="12" t="s">
        <v>20</v>
      </c>
      <c r="I1003" s="16">
        <v>1</v>
      </c>
      <c r="J1003" s="12" t="s">
        <v>21</v>
      </c>
      <c r="K1003" s="12" t="s">
        <v>22</v>
      </c>
      <c r="L1003" s="13">
        <v>200</v>
      </c>
    </row>
    <row r="1004" spans="1:12" s="10" customFormat="1" ht="18" x14ac:dyDescent="0.25">
      <c r="A1004" s="11">
        <v>1000</v>
      </c>
      <c r="B1004" s="12" t="s">
        <v>525</v>
      </c>
      <c r="C1004" s="12" t="str">
        <f t="shared" si="39"/>
        <v>140502</v>
      </c>
      <c r="D1004" s="12" t="str">
        <f>"14.140502/2024.01264/BC.O."</f>
        <v>14.140502/2024.01264/BC.O.</v>
      </c>
      <c r="E1004" s="12" t="str">
        <f>"200600064864"</f>
        <v>200600064864</v>
      </c>
      <c r="F1004" s="12" t="str">
        <f>"UNIDAD/DE VITRECTOMIA"</f>
        <v>UNIDAD/DE VITRECTOMIA</v>
      </c>
      <c r="G1004" s="12" t="s">
        <v>19</v>
      </c>
      <c r="H1004" s="12" t="s">
        <v>20</v>
      </c>
      <c r="I1004" s="16">
        <v>1</v>
      </c>
      <c r="J1004" s="12" t="s">
        <v>21</v>
      </c>
      <c r="K1004" s="12" t="s">
        <v>22</v>
      </c>
      <c r="L1004" s="13">
        <v>35</v>
      </c>
    </row>
    <row r="1005" spans="1:12" s="10" customFormat="1" ht="18" x14ac:dyDescent="0.25">
      <c r="A1005" s="11">
        <v>1001</v>
      </c>
      <c r="B1005" s="12" t="s">
        <v>525</v>
      </c>
      <c r="C1005" s="12" t="str">
        <f t="shared" si="39"/>
        <v>140502</v>
      </c>
      <c r="D1005" s="12" t="str">
        <f>"14.140502/2024.01315/BC.O."</f>
        <v>14.140502/2024.01315/BC.O.</v>
      </c>
      <c r="E1005" s="12" t="str">
        <f>"200600082718"</f>
        <v>200600082718</v>
      </c>
      <c r="F1005" s="12" t="str">
        <f t="shared" ref="F1005:F1016" si="41">"CAMA/CLINICA DE POSICIONES"</f>
        <v>CAMA/CLINICA DE POSICIONES</v>
      </c>
      <c r="G1005" s="12" t="s">
        <v>19</v>
      </c>
      <c r="H1005" s="12" t="s">
        <v>20</v>
      </c>
      <c r="I1005" s="16">
        <v>1</v>
      </c>
      <c r="J1005" s="12" t="s">
        <v>21</v>
      </c>
      <c r="K1005" s="12" t="s">
        <v>22</v>
      </c>
      <c r="L1005" s="13">
        <v>200</v>
      </c>
    </row>
    <row r="1006" spans="1:12" s="10" customFormat="1" ht="18" x14ac:dyDescent="0.25">
      <c r="A1006" s="11">
        <v>1002</v>
      </c>
      <c r="B1006" s="12" t="s">
        <v>525</v>
      </c>
      <c r="C1006" s="12" t="str">
        <f t="shared" si="39"/>
        <v>140502</v>
      </c>
      <c r="D1006" s="12" t="str">
        <f>"14.140502/2024.01316/BC.O."</f>
        <v>14.140502/2024.01316/BC.O.</v>
      </c>
      <c r="E1006" s="12" t="str">
        <f>"200600082719"</f>
        <v>200600082719</v>
      </c>
      <c r="F1006" s="12" t="str">
        <f t="shared" si="41"/>
        <v>CAMA/CLINICA DE POSICIONES</v>
      </c>
      <c r="G1006" s="12" t="s">
        <v>19</v>
      </c>
      <c r="H1006" s="12" t="s">
        <v>20</v>
      </c>
      <c r="I1006" s="16">
        <v>1</v>
      </c>
      <c r="J1006" s="12" t="s">
        <v>21</v>
      </c>
      <c r="K1006" s="12" t="s">
        <v>22</v>
      </c>
      <c r="L1006" s="13">
        <v>200</v>
      </c>
    </row>
    <row r="1007" spans="1:12" s="10" customFormat="1" ht="18" x14ac:dyDescent="0.25">
      <c r="A1007" s="11">
        <v>1003</v>
      </c>
      <c r="B1007" s="12" t="s">
        <v>525</v>
      </c>
      <c r="C1007" s="12" t="str">
        <f t="shared" si="39"/>
        <v>140502</v>
      </c>
      <c r="D1007" s="12" t="str">
        <f>"14.140502/2024.01314/BC.O."</f>
        <v>14.140502/2024.01314/BC.O.</v>
      </c>
      <c r="E1007" s="12" t="str">
        <f>"200600082720"</f>
        <v>200600082720</v>
      </c>
      <c r="F1007" s="12" t="str">
        <f t="shared" si="41"/>
        <v>CAMA/CLINICA DE POSICIONES</v>
      </c>
      <c r="G1007" s="12" t="s">
        <v>19</v>
      </c>
      <c r="H1007" s="12" t="s">
        <v>20</v>
      </c>
      <c r="I1007" s="16">
        <v>1</v>
      </c>
      <c r="J1007" s="12" t="s">
        <v>21</v>
      </c>
      <c r="K1007" s="12" t="s">
        <v>22</v>
      </c>
      <c r="L1007" s="13">
        <v>200</v>
      </c>
    </row>
    <row r="1008" spans="1:12" s="10" customFormat="1" ht="18" x14ac:dyDescent="0.25">
      <c r="A1008" s="11">
        <v>1004</v>
      </c>
      <c r="B1008" s="12" t="s">
        <v>525</v>
      </c>
      <c r="C1008" s="12" t="str">
        <f t="shared" si="39"/>
        <v>140502</v>
      </c>
      <c r="D1008" s="12" t="str">
        <f>"14.140502/2024.01313/BC.O."</f>
        <v>14.140502/2024.01313/BC.O.</v>
      </c>
      <c r="E1008" s="12" t="str">
        <f>"200600082721"</f>
        <v>200600082721</v>
      </c>
      <c r="F1008" s="12" t="str">
        <f t="shared" si="41"/>
        <v>CAMA/CLINICA DE POSICIONES</v>
      </c>
      <c r="G1008" s="12" t="s">
        <v>19</v>
      </c>
      <c r="H1008" s="12" t="s">
        <v>20</v>
      </c>
      <c r="I1008" s="16">
        <v>1</v>
      </c>
      <c r="J1008" s="12" t="s">
        <v>21</v>
      </c>
      <c r="K1008" s="12" t="s">
        <v>22</v>
      </c>
      <c r="L1008" s="13">
        <v>200</v>
      </c>
    </row>
    <row r="1009" spans="1:12" s="10" customFormat="1" ht="18" x14ac:dyDescent="0.25">
      <c r="A1009" s="11">
        <v>1005</v>
      </c>
      <c r="B1009" s="12" t="s">
        <v>525</v>
      </c>
      <c r="C1009" s="12" t="str">
        <f t="shared" si="39"/>
        <v>140502</v>
      </c>
      <c r="D1009" s="12" t="str">
        <f>"14.140502/2024.01312/BC.O."</f>
        <v>14.140502/2024.01312/BC.O.</v>
      </c>
      <c r="E1009" s="12" t="str">
        <f>"200600082722"</f>
        <v>200600082722</v>
      </c>
      <c r="F1009" s="12" t="str">
        <f t="shared" si="41"/>
        <v>CAMA/CLINICA DE POSICIONES</v>
      </c>
      <c r="G1009" s="12" t="s">
        <v>19</v>
      </c>
      <c r="H1009" s="12" t="s">
        <v>20</v>
      </c>
      <c r="I1009" s="16">
        <v>1</v>
      </c>
      <c r="J1009" s="12" t="s">
        <v>21</v>
      </c>
      <c r="K1009" s="12" t="s">
        <v>22</v>
      </c>
      <c r="L1009" s="13">
        <v>200</v>
      </c>
    </row>
    <row r="1010" spans="1:12" s="10" customFormat="1" ht="18" x14ac:dyDescent="0.25">
      <c r="A1010" s="11">
        <v>1006</v>
      </c>
      <c r="B1010" s="12" t="s">
        <v>525</v>
      </c>
      <c r="C1010" s="12" t="str">
        <f t="shared" si="39"/>
        <v>140502</v>
      </c>
      <c r="D1010" s="12" t="str">
        <f>"14.140502/2024.01311/BC.O."</f>
        <v>14.140502/2024.01311/BC.O.</v>
      </c>
      <c r="E1010" s="12" t="str">
        <f>"200600082742"</f>
        <v>200600082742</v>
      </c>
      <c r="F1010" s="12" t="str">
        <f t="shared" si="41"/>
        <v>CAMA/CLINICA DE POSICIONES</v>
      </c>
      <c r="G1010" s="12" t="s">
        <v>19</v>
      </c>
      <c r="H1010" s="12" t="s">
        <v>20</v>
      </c>
      <c r="I1010" s="16">
        <v>1</v>
      </c>
      <c r="J1010" s="12" t="s">
        <v>21</v>
      </c>
      <c r="K1010" s="12" t="s">
        <v>22</v>
      </c>
      <c r="L1010" s="13">
        <v>200</v>
      </c>
    </row>
    <row r="1011" spans="1:12" s="10" customFormat="1" ht="18" x14ac:dyDescent="0.25">
      <c r="A1011" s="11">
        <v>1007</v>
      </c>
      <c r="B1011" s="12" t="s">
        <v>525</v>
      </c>
      <c r="C1011" s="12" t="str">
        <f t="shared" si="39"/>
        <v>140502</v>
      </c>
      <c r="D1011" s="12" t="str">
        <f>"14.140502/2024.01310/BC.O."</f>
        <v>14.140502/2024.01310/BC.O.</v>
      </c>
      <c r="E1011" s="12" t="str">
        <f>"200600082743"</f>
        <v>200600082743</v>
      </c>
      <c r="F1011" s="12" t="str">
        <f t="shared" si="41"/>
        <v>CAMA/CLINICA DE POSICIONES</v>
      </c>
      <c r="G1011" s="12" t="s">
        <v>19</v>
      </c>
      <c r="H1011" s="12" t="s">
        <v>20</v>
      </c>
      <c r="I1011" s="16">
        <v>1</v>
      </c>
      <c r="J1011" s="12" t="s">
        <v>21</v>
      </c>
      <c r="K1011" s="12" t="s">
        <v>22</v>
      </c>
      <c r="L1011" s="13">
        <v>200</v>
      </c>
    </row>
    <row r="1012" spans="1:12" s="10" customFormat="1" ht="18" x14ac:dyDescent="0.25">
      <c r="A1012" s="11">
        <v>1008</v>
      </c>
      <c r="B1012" s="12" t="s">
        <v>525</v>
      </c>
      <c r="C1012" s="12" t="str">
        <f t="shared" si="39"/>
        <v>140502</v>
      </c>
      <c r="D1012" s="12" t="str">
        <f>"14.140502/2024.01309/BC.O."</f>
        <v>14.140502/2024.01309/BC.O.</v>
      </c>
      <c r="E1012" s="12" t="str">
        <f>"200600082744"</f>
        <v>200600082744</v>
      </c>
      <c r="F1012" s="12" t="str">
        <f t="shared" si="41"/>
        <v>CAMA/CLINICA DE POSICIONES</v>
      </c>
      <c r="G1012" s="12" t="s">
        <v>19</v>
      </c>
      <c r="H1012" s="12" t="s">
        <v>20</v>
      </c>
      <c r="I1012" s="16">
        <v>1</v>
      </c>
      <c r="J1012" s="12" t="s">
        <v>21</v>
      </c>
      <c r="K1012" s="12" t="s">
        <v>22</v>
      </c>
      <c r="L1012" s="13">
        <v>200</v>
      </c>
    </row>
    <row r="1013" spans="1:12" s="10" customFormat="1" ht="18" x14ac:dyDescent="0.25">
      <c r="A1013" s="11">
        <v>1009</v>
      </c>
      <c r="B1013" s="12" t="s">
        <v>525</v>
      </c>
      <c r="C1013" s="12" t="str">
        <f t="shared" si="39"/>
        <v>140502</v>
      </c>
      <c r="D1013" s="12" t="str">
        <f>"14.140502/2024.01308/BC.O."</f>
        <v>14.140502/2024.01308/BC.O.</v>
      </c>
      <c r="E1013" s="12" t="str">
        <f>"200600082747"</f>
        <v>200600082747</v>
      </c>
      <c r="F1013" s="12" t="str">
        <f t="shared" si="41"/>
        <v>CAMA/CLINICA DE POSICIONES</v>
      </c>
      <c r="G1013" s="12" t="s">
        <v>19</v>
      </c>
      <c r="H1013" s="12" t="s">
        <v>20</v>
      </c>
      <c r="I1013" s="16">
        <v>1</v>
      </c>
      <c r="J1013" s="12" t="s">
        <v>21</v>
      </c>
      <c r="K1013" s="12" t="s">
        <v>22</v>
      </c>
      <c r="L1013" s="13">
        <v>200</v>
      </c>
    </row>
    <row r="1014" spans="1:12" s="10" customFormat="1" ht="18" x14ac:dyDescent="0.25">
      <c r="A1014" s="11">
        <v>1010</v>
      </c>
      <c r="B1014" s="12" t="s">
        <v>525</v>
      </c>
      <c r="C1014" s="12" t="str">
        <f t="shared" si="39"/>
        <v>140502</v>
      </c>
      <c r="D1014" s="12" t="str">
        <f>"14.140502/2024.01307/BC.O."</f>
        <v>14.140502/2024.01307/BC.O.</v>
      </c>
      <c r="E1014" s="12" t="str">
        <f>"200600082751"</f>
        <v>200600082751</v>
      </c>
      <c r="F1014" s="12" t="str">
        <f t="shared" si="41"/>
        <v>CAMA/CLINICA DE POSICIONES</v>
      </c>
      <c r="G1014" s="12" t="s">
        <v>19</v>
      </c>
      <c r="H1014" s="12" t="s">
        <v>20</v>
      </c>
      <c r="I1014" s="16">
        <v>1</v>
      </c>
      <c r="J1014" s="12" t="s">
        <v>21</v>
      </c>
      <c r="K1014" s="12" t="s">
        <v>22</v>
      </c>
      <c r="L1014" s="13">
        <v>200</v>
      </c>
    </row>
    <row r="1015" spans="1:12" s="10" customFormat="1" ht="18" x14ac:dyDescent="0.25">
      <c r="A1015" s="11">
        <v>1011</v>
      </c>
      <c r="B1015" s="12" t="s">
        <v>525</v>
      </c>
      <c r="C1015" s="12" t="str">
        <f t="shared" si="39"/>
        <v>140502</v>
      </c>
      <c r="D1015" s="12" t="str">
        <f>"14.140502/2024.01306/BC.O."</f>
        <v>14.140502/2024.01306/BC.O.</v>
      </c>
      <c r="E1015" s="12" t="str">
        <f>"200600082752"</f>
        <v>200600082752</v>
      </c>
      <c r="F1015" s="12" t="str">
        <f t="shared" si="41"/>
        <v>CAMA/CLINICA DE POSICIONES</v>
      </c>
      <c r="G1015" s="12" t="s">
        <v>19</v>
      </c>
      <c r="H1015" s="12" t="s">
        <v>20</v>
      </c>
      <c r="I1015" s="16">
        <v>1</v>
      </c>
      <c r="J1015" s="12" t="s">
        <v>21</v>
      </c>
      <c r="K1015" s="12" t="s">
        <v>22</v>
      </c>
      <c r="L1015" s="13">
        <v>200</v>
      </c>
    </row>
    <row r="1016" spans="1:12" s="10" customFormat="1" ht="18" x14ac:dyDescent="0.25">
      <c r="A1016" s="11">
        <v>1012</v>
      </c>
      <c r="B1016" s="12" t="s">
        <v>525</v>
      </c>
      <c r="C1016" s="12" t="str">
        <f t="shared" si="39"/>
        <v>140502</v>
      </c>
      <c r="D1016" s="12" t="str">
        <f>"14.140502/2024.01305/BC.O."</f>
        <v>14.140502/2024.01305/BC.O.</v>
      </c>
      <c r="E1016" s="12" t="str">
        <f>"200600082753"</f>
        <v>200600082753</v>
      </c>
      <c r="F1016" s="12" t="str">
        <f t="shared" si="41"/>
        <v>CAMA/CLINICA DE POSICIONES</v>
      </c>
      <c r="G1016" s="12" t="s">
        <v>19</v>
      </c>
      <c r="H1016" s="12" t="s">
        <v>20</v>
      </c>
      <c r="I1016" s="16">
        <v>1</v>
      </c>
      <c r="J1016" s="12" t="s">
        <v>21</v>
      </c>
      <c r="K1016" s="12" t="s">
        <v>22</v>
      </c>
      <c r="L1016" s="13">
        <v>200</v>
      </c>
    </row>
    <row r="1017" spans="1:12" s="10" customFormat="1" ht="18" x14ac:dyDescent="0.25">
      <c r="A1017" s="11">
        <v>1013</v>
      </c>
      <c r="B1017" s="12" t="s">
        <v>525</v>
      </c>
      <c r="C1017" s="12" t="str">
        <f t="shared" ref="C1017:C1032" si="42">"140502"</f>
        <v>140502</v>
      </c>
      <c r="D1017" s="12" t="str">
        <f>"14.140502/2024.01284/BC.O."</f>
        <v>14.140502/2024.01284/BC.O.</v>
      </c>
      <c r="E1017" s="12" t="str">
        <f>"200600093338"</f>
        <v>200600093338</v>
      </c>
      <c r="F1017" s="12" t="str">
        <f>"SISTEMA/PARA AUDIOMETRIA"</f>
        <v>SISTEMA/PARA AUDIOMETRIA</v>
      </c>
      <c r="G1017" s="12" t="s">
        <v>19</v>
      </c>
      <c r="H1017" s="12" t="s">
        <v>20</v>
      </c>
      <c r="I1017" s="16">
        <v>1</v>
      </c>
      <c r="J1017" s="12" t="s">
        <v>21</v>
      </c>
      <c r="K1017" s="12" t="s">
        <v>22</v>
      </c>
      <c r="L1017" s="13">
        <v>50</v>
      </c>
    </row>
    <row r="1018" spans="1:12" s="10" customFormat="1" ht="18" x14ac:dyDescent="0.25">
      <c r="A1018" s="11">
        <v>1014</v>
      </c>
      <c r="B1018" s="12" t="s">
        <v>525</v>
      </c>
      <c r="C1018" s="12" t="str">
        <f t="shared" si="42"/>
        <v>140502</v>
      </c>
      <c r="D1018" s="12" t="str">
        <f>"14.140502/2024.01283/BC.O."</f>
        <v>14.140502/2024.01283/BC.O.</v>
      </c>
      <c r="E1018" s="12" t="str">
        <f>"200880035610"</f>
        <v>200880035610</v>
      </c>
      <c r="F1018" s="12" t="str">
        <f>"APARATO PARA FOTOFLUOROGRAFIA/PARA ESTUDIO"</f>
        <v>APARATO PARA FOTOFLUOROGRAFIA/PARA ESTUDIO</v>
      </c>
      <c r="G1018" s="12" t="s">
        <v>19</v>
      </c>
      <c r="H1018" s="12" t="s">
        <v>20</v>
      </c>
      <c r="I1018" s="16">
        <v>1</v>
      </c>
      <c r="J1018" s="12" t="s">
        <v>21</v>
      </c>
      <c r="K1018" s="12" t="s">
        <v>22</v>
      </c>
      <c r="L1018" s="13">
        <v>150</v>
      </c>
    </row>
    <row r="1019" spans="1:12" s="10" customFormat="1" ht="27" x14ac:dyDescent="0.25">
      <c r="A1019" s="11">
        <v>1015</v>
      </c>
      <c r="B1019" s="12" t="s">
        <v>525</v>
      </c>
      <c r="C1019" s="12" t="str">
        <f t="shared" si="42"/>
        <v>140502</v>
      </c>
      <c r="D1019" s="12" t="str">
        <f>"14.140502/2024.01280/BC.O."</f>
        <v>14.140502/2024.01280/BC.O.</v>
      </c>
      <c r="E1019" s="12" t="str">
        <f>"200980006674"</f>
        <v>200980006674</v>
      </c>
      <c r="F1019" s="12" t="str">
        <f>"EQUIPO DE RAYOS X/RADIOGRAFICOS Y FLUROSCOPICOS"</f>
        <v>EQUIPO DE RAYOS X/RADIOGRAFICOS Y FLUROSCOPICOS</v>
      </c>
      <c r="G1019" s="12" t="s">
        <v>19</v>
      </c>
      <c r="H1019" s="12" t="s">
        <v>20</v>
      </c>
      <c r="I1019" s="16">
        <v>1</v>
      </c>
      <c r="J1019" s="12" t="s">
        <v>21</v>
      </c>
      <c r="K1019" s="12" t="s">
        <v>22</v>
      </c>
      <c r="L1019" s="13">
        <v>1500</v>
      </c>
    </row>
    <row r="1020" spans="1:12" s="10" customFormat="1" ht="18" x14ac:dyDescent="0.25">
      <c r="A1020" s="11">
        <v>1016</v>
      </c>
      <c r="B1020" s="12" t="s">
        <v>525</v>
      </c>
      <c r="C1020" s="12" t="str">
        <f t="shared" si="42"/>
        <v>140502</v>
      </c>
      <c r="D1020" s="12" t="str">
        <f>"14.140502/2024.01261/BC.O."</f>
        <v>14.140502/2024.01261/BC.O.</v>
      </c>
      <c r="E1020" s="12" t="str">
        <f>"201080015376"</f>
        <v>201080015376</v>
      </c>
      <c r="F1020" s="12" t="str">
        <f>"UNIDAD/PARA ASPERSION DE VAPORES"</f>
        <v>UNIDAD/PARA ASPERSION DE VAPORES</v>
      </c>
      <c r="G1020" s="12" t="s">
        <v>19</v>
      </c>
      <c r="H1020" s="12" t="s">
        <v>20</v>
      </c>
      <c r="I1020" s="16">
        <v>1</v>
      </c>
      <c r="J1020" s="12" t="s">
        <v>21</v>
      </c>
      <c r="K1020" s="12" t="s">
        <v>22</v>
      </c>
      <c r="L1020" s="13">
        <v>50</v>
      </c>
    </row>
    <row r="1021" spans="1:12" s="10" customFormat="1" ht="18" x14ac:dyDescent="0.25">
      <c r="A1021" s="11">
        <v>1017</v>
      </c>
      <c r="B1021" s="12" t="s">
        <v>525</v>
      </c>
      <c r="C1021" s="12" t="str">
        <f t="shared" si="42"/>
        <v>140502</v>
      </c>
      <c r="D1021" s="12" t="str">
        <f>"14.140502/2024.01335/BC.O."</f>
        <v>14.140502/2024.01335/BC.O.</v>
      </c>
      <c r="E1021" s="12" t="str">
        <f>"201100012857"</f>
        <v>201100012857</v>
      </c>
      <c r="F1021" s="12" t="str">
        <f>"ESTUCHE/DE DIAGNOSTICO"</f>
        <v>ESTUCHE/DE DIAGNOSTICO</v>
      </c>
      <c r="G1021" s="12" t="s">
        <v>19</v>
      </c>
      <c r="H1021" s="12" t="s">
        <v>20</v>
      </c>
      <c r="I1021" s="16">
        <v>1</v>
      </c>
      <c r="J1021" s="12" t="s">
        <v>21</v>
      </c>
      <c r="K1021" s="12" t="s">
        <v>22</v>
      </c>
      <c r="L1021" s="13">
        <v>50</v>
      </c>
    </row>
    <row r="1022" spans="1:12" s="10" customFormat="1" ht="18" x14ac:dyDescent="0.25">
      <c r="A1022" s="11">
        <v>1018</v>
      </c>
      <c r="B1022" s="12" t="s">
        <v>525</v>
      </c>
      <c r="C1022" s="12" t="str">
        <f t="shared" si="42"/>
        <v>140502</v>
      </c>
      <c r="D1022" s="12" t="str">
        <f>"14.140502/2024.01303/BC.O."</f>
        <v>14.140502/2024.01303/BC.O.</v>
      </c>
      <c r="E1022" s="12" t="str">
        <f>"201100020465"</f>
        <v>201100020465</v>
      </c>
      <c r="F1022" s="12" t="str">
        <f>"CAMA/CLINICA DE POSICIONES"</f>
        <v>CAMA/CLINICA DE POSICIONES</v>
      </c>
      <c r="G1022" s="12" t="s">
        <v>19</v>
      </c>
      <c r="H1022" s="12" t="s">
        <v>20</v>
      </c>
      <c r="I1022" s="16">
        <v>1</v>
      </c>
      <c r="J1022" s="12" t="s">
        <v>21</v>
      </c>
      <c r="K1022" s="12" t="s">
        <v>22</v>
      </c>
      <c r="L1022" s="13">
        <v>20</v>
      </c>
    </row>
    <row r="1023" spans="1:12" s="10" customFormat="1" ht="18" x14ac:dyDescent="0.25">
      <c r="A1023" s="11">
        <v>1019</v>
      </c>
      <c r="B1023" s="12" t="s">
        <v>525</v>
      </c>
      <c r="C1023" s="12" t="str">
        <f t="shared" si="42"/>
        <v>140502</v>
      </c>
      <c r="D1023" s="12" t="str">
        <f>"14.140502/2024.01302/BC.O."</f>
        <v>14.140502/2024.01302/BC.O.</v>
      </c>
      <c r="E1023" s="12" t="str">
        <f>"201100020467"</f>
        <v>201100020467</v>
      </c>
      <c r="F1023" s="12" t="str">
        <f>"CAMA/CLINICA DE POSICIONES"</f>
        <v>CAMA/CLINICA DE POSICIONES</v>
      </c>
      <c r="G1023" s="12" t="s">
        <v>19</v>
      </c>
      <c r="H1023" s="12" t="s">
        <v>20</v>
      </c>
      <c r="I1023" s="16">
        <v>1</v>
      </c>
      <c r="J1023" s="12" t="s">
        <v>21</v>
      </c>
      <c r="K1023" s="12" t="s">
        <v>22</v>
      </c>
      <c r="L1023" s="13">
        <v>200</v>
      </c>
    </row>
    <row r="1024" spans="1:12" s="10" customFormat="1" ht="18" x14ac:dyDescent="0.25">
      <c r="A1024" s="11">
        <v>1020</v>
      </c>
      <c r="B1024" s="12" t="s">
        <v>525</v>
      </c>
      <c r="C1024" s="12" t="str">
        <f t="shared" si="42"/>
        <v>140502</v>
      </c>
      <c r="D1024" s="12" t="str">
        <f>"14.140502/2024.01304/BC.O."</f>
        <v>14.140502/2024.01304/BC.O.</v>
      </c>
      <c r="E1024" s="12" t="str">
        <f>"201100020468"</f>
        <v>201100020468</v>
      </c>
      <c r="F1024" s="12" t="str">
        <f>"CAMA/CLINICA DE POSICIONES"</f>
        <v>CAMA/CLINICA DE POSICIONES</v>
      </c>
      <c r="G1024" s="12" t="s">
        <v>19</v>
      </c>
      <c r="H1024" s="12" t="s">
        <v>20</v>
      </c>
      <c r="I1024" s="16">
        <v>1</v>
      </c>
      <c r="J1024" s="12" t="s">
        <v>21</v>
      </c>
      <c r="K1024" s="12" t="s">
        <v>22</v>
      </c>
      <c r="L1024" s="13">
        <v>200</v>
      </c>
    </row>
    <row r="1025" spans="1:12" s="10" customFormat="1" ht="18" x14ac:dyDescent="0.25">
      <c r="A1025" s="11">
        <v>1021</v>
      </c>
      <c r="B1025" s="12" t="s">
        <v>525</v>
      </c>
      <c r="C1025" s="12" t="str">
        <f t="shared" si="42"/>
        <v>140502</v>
      </c>
      <c r="D1025" s="12" t="str">
        <f>"14.140502/2024.01301/BC.O."</f>
        <v>14.140502/2024.01301/BC.O.</v>
      </c>
      <c r="E1025" s="12" t="str">
        <f>"201100020472"</f>
        <v>201100020472</v>
      </c>
      <c r="F1025" s="12" t="str">
        <f>"CAMA/CLINICA DE POSICIONES"</f>
        <v>CAMA/CLINICA DE POSICIONES</v>
      </c>
      <c r="G1025" s="12" t="s">
        <v>19</v>
      </c>
      <c r="H1025" s="12" t="s">
        <v>20</v>
      </c>
      <c r="I1025" s="16">
        <v>1</v>
      </c>
      <c r="J1025" s="12" t="s">
        <v>21</v>
      </c>
      <c r="K1025" s="12" t="s">
        <v>22</v>
      </c>
      <c r="L1025" s="13">
        <v>200</v>
      </c>
    </row>
    <row r="1026" spans="1:12" s="10" customFormat="1" ht="18" x14ac:dyDescent="0.25">
      <c r="A1026" s="11">
        <v>1022</v>
      </c>
      <c r="B1026" s="12" t="s">
        <v>525</v>
      </c>
      <c r="C1026" s="12" t="str">
        <f t="shared" si="42"/>
        <v>140502</v>
      </c>
      <c r="D1026" s="12" t="str">
        <f>"14.140502/2024.01300/BC.O."</f>
        <v>14.140502/2024.01300/BC.O.</v>
      </c>
      <c r="E1026" s="12" t="str">
        <f>"201100020474"</f>
        <v>201100020474</v>
      </c>
      <c r="F1026" s="12" t="str">
        <f>"CAMA/CLINICA DE POSICIONES"</f>
        <v>CAMA/CLINICA DE POSICIONES</v>
      </c>
      <c r="G1026" s="12" t="s">
        <v>19</v>
      </c>
      <c r="H1026" s="12" t="s">
        <v>20</v>
      </c>
      <c r="I1026" s="16">
        <v>1</v>
      </c>
      <c r="J1026" s="12" t="s">
        <v>21</v>
      </c>
      <c r="K1026" s="12" t="s">
        <v>22</v>
      </c>
      <c r="L1026" s="13">
        <v>200</v>
      </c>
    </row>
    <row r="1027" spans="1:12" s="10" customFormat="1" ht="18" x14ac:dyDescent="0.25">
      <c r="A1027" s="11">
        <v>1023</v>
      </c>
      <c r="B1027" s="12" t="s">
        <v>525</v>
      </c>
      <c r="C1027" s="12" t="str">
        <f t="shared" si="42"/>
        <v>140502</v>
      </c>
      <c r="D1027" s="12" t="str">
        <f>"14.140502/2024.01266/BC.O."</f>
        <v>14.140502/2024.01266/BC.O.</v>
      </c>
      <c r="E1027" s="12" t="str">
        <f>"201280002434"</f>
        <v>201280002434</v>
      </c>
      <c r="F1027" s="12" t="str">
        <f>"URETROSCOPIO/DE FIBRAS OPTICAS"</f>
        <v>URETROSCOPIO/DE FIBRAS OPTICAS</v>
      </c>
      <c r="G1027" s="12" t="s">
        <v>19</v>
      </c>
      <c r="H1027" s="12" t="s">
        <v>20</v>
      </c>
      <c r="I1027" s="16">
        <v>1</v>
      </c>
      <c r="J1027" s="12" t="s">
        <v>21</v>
      </c>
      <c r="K1027" s="12" t="s">
        <v>22</v>
      </c>
      <c r="L1027" s="13">
        <v>50</v>
      </c>
    </row>
    <row r="1028" spans="1:12" s="10" customFormat="1" ht="18" x14ac:dyDescent="0.25">
      <c r="A1028" s="11">
        <v>1024</v>
      </c>
      <c r="B1028" s="12" t="s">
        <v>525</v>
      </c>
      <c r="C1028" s="12" t="str">
        <f t="shared" si="42"/>
        <v>140502</v>
      </c>
      <c r="D1028" s="12" t="str">
        <f>"14.140502/2024.01265/BC.O."</f>
        <v>14.140502/2024.01265/BC.O.</v>
      </c>
      <c r="E1028" s="12" t="str">
        <f>"201280002441"</f>
        <v>201280002441</v>
      </c>
      <c r="F1028" s="12" t="str">
        <f>"URETROSCOPIO/DE FIBRAS OPTICAS"</f>
        <v>URETROSCOPIO/DE FIBRAS OPTICAS</v>
      </c>
      <c r="G1028" s="12" t="s">
        <v>19</v>
      </c>
      <c r="H1028" s="12" t="s">
        <v>20</v>
      </c>
      <c r="I1028" s="16">
        <v>1</v>
      </c>
      <c r="J1028" s="12" t="s">
        <v>21</v>
      </c>
      <c r="K1028" s="12" t="s">
        <v>22</v>
      </c>
      <c r="L1028" s="13">
        <v>50</v>
      </c>
    </row>
    <row r="1029" spans="1:12" s="10" customFormat="1" ht="18" x14ac:dyDescent="0.25">
      <c r="A1029" s="11">
        <v>1025</v>
      </c>
      <c r="B1029" s="12" t="s">
        <v>525</v>
      </c>
      <c r="C1029" s="12" t="str">
        <f t="shared" si="42"/>
        <v>140502</v>
      </c>
      <c r="D1029" s="12" t="str">
        <f>"14.140502/2024.01267/BC.O."</f>
        <v>14.140502/2024.01267/BC.O.</v>
      </c>
      <c r="E1029" s="12" t="str">
        <f>"201280002448"</f>
        <v>201280002448</v>
      </c>
      <c r="F1029" s="12" t="str">
        <f>"RESECTOSCOPIO/PARA EXPLORACION"</f>
        <v>RESECTOSCOPIO/PARA EXPLORACION</v>
      </c>
      <c r="G1029" s="12" t="s">
        <v>19</v>
      </c>
      <c r="H1029" s="12" t="s">
        <v>20</v>
      </c>
      <c r="I1029" s="16">
        <v>1</v>
      </c>
      <c r="J1029" s="12" t="s">
        <v>21</v>
      </c>
      <c r="K1029" s="12" t="s">
        <v>22</v>
      </c>
      <c r="L1029" s="13">
        <v>50</v>
      </c>
    </row>
    <row r="1030" spans="1:12" s="10" customFormat="1" ht="27" x14ac:dyDescent="0.25">
      <c r="A1030" s="11">
        <v>1026</v>
      </c>
      <c r="B1030" s="12" t="s">
        <v>525</v>
      </c>
      <c r="C1030" s="12" t="str">
        <f t="shared" si="42"/>
        <v>140502</v>
      </c>
      <c r="D1030" s="12" t="str">
        <f>"14.140502/2024.01281/BC.O."</f>
        <v>14.140502/2024.01281/BC.O.</v>
      </c>
      <c r="E1030" s="12" t="str">
        <f>"201300011973"</f>
        <v>201300011973</v>
      </c>
      <c r="F1030" s="12" t="str">
        <f>"EQUIPO DE RAYOS X/RADIOGRAFICOS Y FLUROSCOPICOS"</f>
        <v>EQUIPO DE RAYOS X/RADIOGRAFICOS Y FLUROSCOPICOS</v>
      </c>
      <c r="G1030" s="12" t="s">
        <v>19</v>
      </c>
      <c r="H1030" s="12" t="s">
        <v>20</v>
      </c>
      <c r="I1030" s="16">
        <v>1</v>
      </c>
      <c r="J1030" s="12" t="s">
        <v>21</v>
      </c>
      <c r="K1030" s="12" t="s">
        <v>22</v>
      </c>
      <c r="L1030" s="13">
        <v>1500</v>
      </c>
    </row>
    <row r="1031" spans="1:12" s="10" customFormat="1" ht="18" x14ac:dyDescent="0.25">
      <c r="A1031" s="11">
        <v>1027</v>
      </c>
      <c r="B1031" s="12" t="s">
        <v>525</v>
      </c>
      <c r="C1031" s="12" t="str">
        <f t="shared" si="42"/>
        <v>140502</v>
      </c>
      <c r="D1031" s="12" t="str">
        <f>"14.140502/2024.01326/BC.O."</f>
        <v>14.140502/2024.01326/BC.O.</v>
      </c>
      <c r="E1031" s="12" t="str">
        <f>"201300012502"</f>
        <v>201300012502</v>
      </c>
      <c r="F1031" s="12" t="str">
        <f>"SILLON/CONFORTABLE"</f>
        <v>SILLON/CONFORTABLE</v>
      </c>
      <c r="G1031" s="12" t="s">
        <v>19</v>
      </c>
      <c r="H1031" s="12" t="s">
        <v>20</v>
      </c>
      <c r="I1031" s="16">
        <v>1</v>
      </c>
      <c r="J1031" s="12" t="s">
        <v>21</v>
      </c>
      <c r="K1031" s="12" t="s">
        <v>22</v>
      </c>
      <c r="L1031" s="13">
        <v>25</v>
      </c>
    </row>
    <row r="1032" spans="1:12" s="10" customFormat="1" ht="18" x14ac:dyDescent="0.25">
      <c r="A1032" s="11">
        <v>1028</v>
      </c>
      <c r="B1032" s="12" t="s">
        <v>525</v>
      </c>
      <c r="C1032" s="12" t="str">
        <f t="shared" si="42"/>
        <v>140502</v>
      </c>
      <c r="D1032" s="12" t="str">
        <f>"14.140502/2024.01278/BC.O."</f>
        <v>14.140502/2024.01278/BC.O.</v>
      </c>
      <c r="E1032" s="12" t="str">
        <f>"201400003735"</f>
        <v>201400003735</v>
      </c>
      <c r="F1032" s="12" t="str">
        <f>"GASTROSCOPIO/CON FUENTE DE LUZ"</f>
        <v>GASTROSCOPIO/CON FUENTE DE LUZ</v>
      </c>
      <c r="G1032" s="12" t="s">
        <v>19</v>
      </c>
      <c r="H1032" s="12" t="s">
        <v>20</v>
      </c>
      <c r="I1032" s="16">
        <v>1</v>
      </c>
      <c r="J1032" s="12" t="s">
        <v>21</v>
      </c>
      <c r="K1032" s="12" t="s">
        <v>22</v>
      </c>
      <c r="L1032" s="13">
        <v>100</v>
      </c>
    </row>
    <row r="1033" spans="1:12" s="10" customFormat="1" ht="18" x14ac:dyDescent="0.25">
      <c r="A1033" s="11">
        <v>1029</v>
      </c>
      <c r="B1033" s="12" t="s">
        <v>526</v>
      </c>
      <c r="C1033" s="12" t="s">
        <v>527</v>
      </c>
      <c r="D1033" s="12" t="s">
        <v>528</v>
      </c>
      <c r="E1033" s="12" t="s">
        <v>529</v>
      </c>
      <c r="F1033" s="12" t="s">
        <v>530</v>
      </c>
      <c r="G1033" s="12" t="s">
        <v>19</v>
      </c>
      <c r="H1033" s="12" t="s">
        <v>20</v>
      </c>
      <c r="I1033" s="12">
        <v>1</v>
      </c>
      <c r="J1033" s="12" t="s">
        <v>21</v>
      </c>
      <c r="K1033" s="12" t="s">
        <v>22</v>
      </c>
      <c r="L1033" s="13">
        <v>150</v>
      </c>
    </row>
    <row r="1034" spans="1:12" s="10" customFormat="1" ht="18" x14ac:dyDescent="0.25">
      <c r="A1034" s="11">
        <v>1030</v>
      </c>
      <c r="B1034" s="12" t="s">
        <v>526</v>
      </c>
      <c r="C1034" s="12" t="s">
        <v>527</v>
      </c>
      <c r="D1034" s="12" t="s">
        <v>531</v>
      </c>
      <c r="E1034" s="12" t="s">
        <v>532</v>
      </c>
      <c r="F1034" s="12" t="s">
        <v>530</v>
      </c>
      <c r="G1034" s="12" t="s">
        <v>19</v>
      </c>
      <c r="H1034" s="12" t="s">
        <v>20</v>
      </c>
      <c r="I1034" s="12">
        <v>1</v>
      </c>
      <c r="J1034" s="12" t="s">
        <v>21</v>
      </c>
      <c r="K1034" s="12" t="s">
        <v>22</v>
      </c>
      <c r="L1034" s="13">
        <v>150</v>
      </c>
    </row>
    <row r="1035" spans="1:12" s="10" customFormat="1" ht="18" x14ac:dyDescent="0.25">
      <c r="A1035" s="11">
        <v>1031</v>
      </c>
      <c r="B1035" s="12" t="s">
        <v>526</v>
      </c>
      <c r="C1035" s="12" t="s">
        <v>527</v>
      </c>
      <c r="D1035" s="12" t="s">
        <v>533</v>
      </c>
      <c r="E1035" s="12" t="s">
        <v>534</v>
      </c>
      <c r="F1035" s="12" t="s">
        <v>530</v>
      </c>
      <c r="G1035" s="12" t="s">
        <v>19</v>
      </c>
      <c r="H1035" s="12" t="s">
        <v>20</v>
      </c>
      <c r="I1035" s="12">
        <v>1</v>
      </c>
      <c r="J1035" s="12" t="s">
        <v>21</v>
      </c>
      <c r="K1035" s="12" t="s">
        <v>22</v>
      </c>
      <c r="L1035" s="13">
        <v>150</v>
      </c>
    </row>
    <row r="1036" spans="1:12" s="10" customFormat="1" ht="18" x14ac:dyDescent="0.25">
      <c r="A1036" s="11">
        <v>1032</v>
      </c>
      <c r="B1036" s="12" t="s">
        <v>526</v>
      </c>
      <c r="C1036" s="12" t="s">
        <v>527</v>
      </c>
      <c r="D1036" s="12" t="s">
        <v>535</v>
      </c>
      <c r="E1036" s="12" t="s">
        <v>536</v>
      </c>
      <c r="F1036" s="12" t="s">
        <v>537</v>
      </c>
      <c r="G1036" s="12" t="s">
        <v>19</v>
      </c>
      <c r="H1036" s="12" t="s">
        <v>20</v>
      </c>
      <c r="I1036" s="12">
        <v>1</v>
      </c>
      <c r="J1036" s="12" t="s">
        <v>21</v>
      </c>
      <c r="K1036" s="12" t="s">
        <v>22</v>
      </c>
      <c r="L1036" s="13">
        <v>50</v>
      </c>
    </row>
    <row r="1037" spans="1:12" s="10" customFormat="1" ht="18" x14ac:dyDescent="0.25">
      <c r="A1037" s="11">
        <v>1033</v>
      </c>
      <c r="B1037" s="12" t="s">
        <v>526</v>
      </c>
      <c r="C1037" s="12" t="s">
        <v>527</v>
      </c>
      <c r="D1037" s="12" t="s">
        <v>538</v>
      </c>
      <c r="E1037" s="12" t="s">
        <v>539</v>
      </c>
      <c r="F1037" s="12" t="s">
        <v>537</v>
      </c>
      <c r="G1037" s="12" t="s">
        <v>19</v>
      </c>
      <c r="H1037" s="12" t="s">
        <v>20</v>
      </c>
      <c r="I1037" s="12">
        <v>1</v>
      </c>
      <c r="J1037" s="12" t="s">
        <v>21</v>
      </c>
      <c r="K1037" s="12" t="s">
        <v>22</v>
      </c>
      <c r="L1037" s="13">
        <v>50</v>
      </c>
    </row>
    <row r="1038" spans="1:12" s="10" customFormat="1" ht="18" x14ac:dyDescent="0.25">
      <c r="A1038" s="11">
        <v>1034</v>
      </c>
      <c r="B1038" s="12" t="s">
        <v>526</v>
      </c>
      <c r="C1038" s="12" t="s">
        <v>527</v>
      </c>
      <c r="D1038" s="12" t="s">
        <v>540</v>
      </c>
      <c r="E1038" s="12" t="s">
        <v>541</v>
      </c>
      <c r="F1038" s="12" t="s">
        <v>542</v>
      </c>
      <c r="G1038" s="12" t="s">
        <v>19</v>
      </c>
      <c r="H1038" s="12" t="s">
        <v>20</v>
      </c>
      <c r="I1038" s="12">
        <v>1</v>
      </c>
      <c r="J1038" s="12" t="s">
        <v>21</v>
      </c>
      <c r="K1038" s="12" t="s">
        <v>22</v>
      </c>
      <c r="L1038" s="13">
        <v>25</v>
      </c>
    </row>
    <row r="1039" spans="1:12" s="10" customFormat="1" ht="18" x14ac:dyDescent="0.25">
      <c r="A1039" s="11">
        <v>1035</v>
      </c>
      <c r="B1039" s="12" t="s">
        <v>526</v>
      </c>
      <c r="C1039" s="12" t="s">
        <v>527</v>
      </c>
      <c r="D1039" s="12" t="s">
        <v>543</v>
      </c>
      <c r="E1039" s="12" t="s">
        <v>544</v>
      </c>
      <c r="F1039" s="12" t="s">
        <v>545</v>
      </c>
      <c r="G1039" s="12" t="s">
        <v>19</v>
      </c>
      <c r="H1039" s="12" t="s">
        <v>20</v>
      </c>
      <c r="I1039" s="12">
        <v>1</v>
      </c>
      <c r="J1039" s="12" t="s">
        <v>21</v>
      </c>
      <c r="K1039" s="12" t="s">
        <v>22</v>
      </c>
      <c r="L1039" s="13">
        <v>200</v>
      </c>
    </row>
    <row r="1040" spans="1:12" s="10" customFormat="1" ht="18" x14ac:dyDescent="0.25">
      <c r="A1040" s="11">
        <v>1036</v>
      </c>
      <c r="B1040" s="12" t="s">
        <v>526</v>
      </c>
      <c r="C1040" s="12" t="s">
        <v>527</v>
      </c>
      <c r="D1040" s="12" t="s">
        <v>546</v>
      </c>
      <c r="E1040" s="12" t="s">
        <v>547</v>
      </c>
      <c r="F1040" s="12" t="s">
        <v>548</v>
      </c>
      <c r="G1040" s="12" t="s">
        <v>19</v>
      </c>
      <c r="H1040" s="12" t="s">
        <v>20</v>
      </c>
      <c r="I1040" s="12">
        <v>1</v>
      </c>
      <c r="J1040" s="12" t="s">
        <v>21</v>
      </c>
      <c r="K1040" s="12" t="s">
        <v>22</v>
      </c>
      <c r="L1040" s="13">
        <v>50</v>
      </c>
    </row>
    <row r="1041" spans="1:12" s="10" customFormat="1" ht="18" x14ac:dyDescent="0.25">
      <c r="A1041" s="11">
        <v>1037</v>
      </c>
      <c r="B1041" s="12" t="s">
        <v>526</v>
      </c>
      <c r="C1041" s="12" t="s">
        <v>527</v>
      </c>
      <c r="D1041" s="12" t="s">
        <v>549</v>
      </c>
      <c r="E1041" s="12" t="s">
        <v>550</v>
      </c>
      <c r="F1041" s="12" t="s">
        <v>548</v>
      </c>
      <c r="G1041" s="12" t="s">
        <v>19</v>
      </c>
      <c r="H1041" s="12" t="s">
        <v>20</v>
      </c>
      <c r="I1041" s="12">
        <v>1</v>
      </c>
      <c r="J1041" s="12" t="s">
        <v>21</v>
      </c>
      <c r="K1041" s="12" t="s">
        <v>22</v>
      </c>
      <c r="L1041" s="13">
        <v>50</v>
      </c>
    </row>
    <row r="1042" spans="1:12" s="10" customFormat="1" ht="18" x14ac:dyDescent="0.25">
      <c r="A1042" s="11">
        <v>1038</v>
      </c>
      <c r="B1042" s="12" t="s">
        <v>526</v>
      </c>
      <c r="C1042" s="12" t="s">
        <v>527</v>
      </c>
      <c r="D1042" s="12" t="s">
        <v>551</v>
      </c>
      <c r="E1042" s="12" t="s">
        <v>552</v>
      </c>
      <c r="F1042" s="12" t="s">
        <v>548</v>
      </c>
      <c r="G1042" s="12" t="s">
        <v>19</v>
      </c>
      <c r="H1042" s="12" t="s">
        <v>20</v>
      </c>
      <c r="I1042" s="12">
        <v>1</v>
      </c>
      <c r="J1042" s="12" t="s">
        <v>21</v>
      </c>
      <c r="K1042" s="12" t="s">
        <v>22</v>
      </c>
      <c r="L1042" s="13">
        <v>50</v>
      </c>
    </row>
    <row r="1043" spans="1:12" s="10" customFormat="1" ht="18" x14ac:dyDescent="0.25">
      <c r="A1043" s="11">
        <v>1039</v>
      </c>
      <c r="B1043" s="12" t="s">
        <v>526</v>
      </c>
      <c r="C1043" s="12" t="s">
        <v>527</v>
      </c>
      <c r="D1043" s="12" t="s">
        <v>553</v>
      </c>
      <c r="E1043" s="12" t="s">
        <v>554</v>
      </c>
      <c r="F1043" s="12" t="s">
        <v>548</v>
      </c>
      <c r="G1043" s="12" t="s">
        <v>19</v>
      </c>
      <c r="H1043" s="12" t="s">
        <v>20</v>
      </c>
      <c r="I1043" s="12">
        <v>1</v>
      </c>
      <c r="J1043" s="12" t="s">
        <v>21</v>
      </c>
      <c r="K1043" s="12" t="s">
        <v>22</v>
      </c>
      <c r="L1043" s="13">
        <v>50</v>
      </c>
    </row>
    <row r="1044" spans="1:12" s="10" customFormat="1" ht="18" x14ac:dyDescent="0.25">
      <c r="A1044" s="11">
        <v>1040</v>
      </c>
      <c r="B1044" s="12" t="s">
        <v>526</v>
      </c>
      <c r="C1044" s="12" t="s">
        <v>527</v>
      </c>
      <c r="D1044" s="12" t="s">
        <v>555</v>
      </c>
      <c r="E1044" s="12" t="s">
        <v>556</v>
      </c>
      <c r="F1044" s="12" t="s">
        <v>548</v>
      </c>
      <c r="G1044" s="12" t="s">
        <v>19</v>
      </c>
      <c r="H1044" s="12" t="s">
        <v>20</v>
      </c>
      <c r="I1044" s="12">
        <v>1</v>
      </c>
      <c r="J1044" s="12" t="s">
        <v>21</v>
      </c>
      <c r="K1044" s="12" t="s">
        <v>22</v>
      </c>
      <c r="L1044" s="13">
        <v>50</v>
      </c>
    </row>
    <row r="1045" spans="1:12" s="10" customFormat="1" ht="18" x14ac:dyDescent="0.25">
      <c r="A1045" s="11">
        <v>1041</v>
      </c>
      <c r="B1045" s="12" t="s">
        <v>526</v>
      </c>
      <c r="C1045" s="12" t="s">
        <v>527</v>
      </c>
      <c r="D1045" s="12" t="s">
        <v>557</v>
      </c>
      <c r="E1045" s="12" t="s">
        <v>558</v>
      </c>
      <c r="F1045" s="12" t="s">
        <v>548</v>
      </c>
      <c r="G1045" s="12" t="s">
        <v>19</v>
      </c>
      <c r="H1045" s="12" t="s">
        <v>20</v>
      </c>
      <c r="I1045" s="12">
        <v>1</v>
      </c>
      <c r="J1045" s="12" t="s">
        <v>21</v>
      </c>
      <c r="K1045" s="12" t="s">
        <v>22</v>
      </c>
      <c r="L1045" s="13">
        <v>50</v>
      </c>
    </row>
    <row r="1046" spans="1:12" s="10" customFormat="1" ht="18" x14ac:dyDescent="0.25">
      <c r="A1046" s="11">
        <v>1042</v>
      </c>
      <c r="B1046" s="12" t="s">
        <v>526</v>
      </c>
      <c r="C1046" s="12" t="s">
        <v>527</v>
      </c>
      <c r="D1046" s="12" t="s">
        <v>559</v>
      </c>
      <c r="E1046" s="12" t="s">
        <v>560</v>
      </c>
      <c r="F1046" s="12" t="s">
        <v>561</v>
      </c>
      <c r="G1046" s="12" t="s">
        <v>19</v>
      </c>
      <c r="H1046" s="12" t="s">
        <v>20</v>
      </c>
      <c r="I1046" s="12">
        <v>1</v>
      </c>
      <c r="J1046" s="12" t="s">
        <v>21</v>
      </c>
      <c r="K1046" s="12" t="s">
        <v>22</v>
      </c>
      <c r="L1046" s="13">
        <v>30</v>
      </c>
    </row>
    <row r="1047" spans="1:12" s="10" customFormat="1" ht="18" x14ac:dyDescent="0.25">
      <c r="A1047" s="11">
        <v>1043</v>
      </c>
      <c r="B1047" s="12" t="s">
        <v>526</v>
      </c>
      <c r="C1047" s="12" t="s">
        <v>527</v>
      </c>
      <c r="D1047" s="12" t="s">
        <v>562</v>
      </c>
      <c r="E1047" s="12" t="s">
        <v>563</v>
      </c>
      <c r="F1047" s="12" t="s">
        <v>561</v>
      </c>
      <c r="G1047" s="12" t="s">
        <v>19</v>
      </c>
      <c r="H1047" s="12" t="s">
        <v>20</v>
      </c>
      <c r="I1047" s="12">
        <v>1</v>
      </c>
      <c r="J1047" s="12" t="s">
        <v>21</v>
      </c>
      <c r="K1047" s="12" t="s">
        <v>22</v>
      </c>
      <c r="L1047" s="13">
        <v>30</v>
      </c>
    </row>
    <row r="1048" spans="1:12" s="10" customFormat="1" ht="18" x14ac:dyDescent="0.25">
      <c r="A1048" s="11">
        <v>1044</v>
      </c>
      <c r="B1048" s="12" t="s">
        <v>526</v>
      </c>
      <c r="C1048" s="12" t="s">
        <v>527</v>
      </c>
      <c r="D1048" s="12" t="s">
        <v>564</v>
      </c>
      <c r="E1048" s="12" t="s">
        <v>565</v>
      </c>
      <c r="F1048" s="12" t="s">
        <v>561</v>
      </c>
      <c r="G1048" s="12" t="s">
        <v>19</v>
      </c>
      <c r="H1048" s="12" t="s">
        <v>20</v>
      </c>
      <c r="I1048" s="12">
        <v>1</v>
      </c>
      <c r="J1048" s="12" t="s">
        <v>21</v>
      </c>
      <c r="K1048" s="12" t="s">
        <v>22</v>
      </c>
      <c r="L1048" s="13">
        <v>30</v>
      </c>
    </row>
    <row r="1049" spans="1:12" s="10" customFormat="1" ht="18" x14ac:dyDescent="0.25">
      <c r="A1049" s="11">
        <v>1045</v>
      </c>
      <c r="B1049" s="12" t="s">
        <v>526</v>
      </c>
      <c r="C1049" s="12" t="s">
        <v>527</v>
      </c>
      <c r="D1049" s="12" t="s">
        <v>566</v>
      </c>
      <c r="E1049" s="12" t="s">
        <v>567</v>
      </c>
      <c r="F1049" s="12" t="s">
        <v>568</v>
      </c>
      <c r="G1049" s="12" t="s">
        <v>19</v>
      </c>
      <c r="H1049" s="12" t="s">
        <v>20</v>
      </c>
      <c r="I1049" s="12">
        <v>1</v>
      </c>
      <c r="J1049" s="12" t="s">
        <v>21</v>
      </c>
      <c r="K1049" s="12" t="s">
        <v>22</v>
      </c>
      <c r="L1049" s="13">
        <v>30</v>
      </c>
    </row>
    <row r="1050" spans="1:12" s="10" customFormat="1" ht="18" x14ac:dyDescent="0.25">
      <c r="A1050" s="11">
        <v>1046</v>
      </c>
      <c r="B1050" s="12" t="s">
        <v>526</v>
      </c>
      <c r="C1050" s="12" t="s">
        <v>527</v>
      </c>
      <c r="D1050" s="12" t="s">
        <v>569</v>
      </c>
      <c r="E1050" s="12" t="s">
        <v>570</v>
      </c>
      <c r="F1050" s="12" t="s">
        <v>568</v>
      </c>
      <c r="G1050" s="12" t="s">
        <v>19</v>
      </c>
      <c r="H1050" s="12" t="s">
        <v>20</v>
      </c>
      <c r="I1050" s="12">
        <v>1</v>
      </c>
      <c r="J1050" s="12" t="s">
        <v>21</v>
      </c>
      <c r="K1050" s="12" t="s">
        <v>22</v>
      </c>
      <c r="L1050" s="13">
        <v>30</v>
      </c>
    </row>
    <row r="1051" spans="1:12" s="10" customFormat="1" ht="18" x14ac:dyDescent="0.25">
      <c r="A1051" s="11">
        <v>1047</v>
      </c>
      <c r="B1051" s="12" t="s">
        <v>526</v>
      </c>
      <c r="C1051" s="12" t="s">
        <v>527</v>
      </c>
      <c r="D1051" s="12" t="s">
        <v>571</v>
      </c>
      <c r="E1051" s="12" t="s">
        <v>572</v>
      </c>
      <c r="F1051" s="12" t="s">
        <v>568</v>
      </c>
      <c r="G1051" s="12" t="s">
        <v>19</v>
      </c>
      <c r="H1051" s="12" t="s">
        <v>20</v>
      </c>
      <c r="I1051" s="12">
        <v>1</v>
      </c>
      <c r="J1051" s="12" t="s">
        <v>21</v>
      </c>
      <c r="K1051" s="12" t="s">
        <v>22</v>
      </c>
      <c r="L1051" s="13">
        <v>30</v>
      </c>
    </row>
    <row r="1052" spans="1:12" s="10" customFormat="1" ht="18" x14ac:dyDescent="0.25">
      <c r="A1052" s="11">
        <v>1048</v>
      </c>
      <c r="B1052" s="12" t="s">
        <v>526</v>
      </c>
      <c r="C1052" s="12" t="s">
        <v>527</v>
      </c>
      <c r="D1052" s="12" t="s">
        <v>573</v>
      </c>
      <c r="E1052" s="12" t="s">
        <v>574</v>
      </c>
      <c r="F1052" s="12" t="s">
        <v>568</v>
      </c>
      <c r="G1052" s="12" t="s">
        <v>19</v>
      </c>
      <c r="H1052" s="12" t="s">
        <v>20</v>
      </c>
      <c r="I1052" s="12">
        <v>1</v>
      </c>
      <c r="J1052" s="12" t="s">
        <v>21</v>
      </c>
      <c r="K1052" s="12" t="s">
        <v>22</v>
      </c>
      <c r="L1052" s="13">
        <v>30</v>
      </c>
    </row>
    <row r="1053" spans="1:12" s="10" customFormat="1" ht="18" x14ac:dyDescent="0.25">
      <c r="A1053" s="11">
        <v>1049</v>
      </c>
      <c r="B1053" s="12" t="s">
        <v>526</v>
      </c>
      <c r="C1053" s="12" t="s">
        <v>527</v>
      </c>
      <c r="D1053" s="12" t="s">
        <v>575</v>
      </c>
      <c r="E1053" s="12" t="s">
        <v>576</v>
      </c>
      <c r="F1053" s="12" t="s">
        <v>568</v>
      </c>
      <c r="G1053" s="12" t="s">
        <v>19</v>
      </c>
      <c r="H1053" s="12" t="s">
        <v>20</v>
      </c>
      <c r="I1053" s="12">
        <v>1</v>
      </c>
      <c r="J1053" s="12" t="s">
        <v>21</v>
      </c>
      <c r="K1053" s="12" t="s">
        <v>22</v>
      </c>
      <c r="L1053" s="13">
        <v>30</v>
      </c>
    </row>
    <row r="1054" spans="1:12" s="10" customFormat="1" ht="18" x14ac:dyDescent="0.25">
      <c r="A1054" s="11">
        <v>1050</v>
      </c>
      <c r="B1054" s="12" t="s">
        <v>526</v>
      </c>
      <c r="C1054" s="12" t="s">
        <v>527</v>
      </c>
      <c r="D1054" s="12" t="s">
        <v>577</v>
      </c>
      <c r="E1054" s="12" t="s">
        <v>578</v>
      </c>
      <c r="F1054" s="12" t="s">
        <v>568</v>
      </c>
      <c r="G1054" s="12" t="s">
        <v>19</v>
      </c>
      <c r="H1054" s="12" t="s">
        <v>20</v>
      </c>
      <c r="I1054" s="12">
        <v>1</v>
      </c>
      <c r="J1054" s="12" t="s">
        <v>21</v>
      </c>
      <c r="K1054" s="12" t="s">
        <v>22</v>
      </c>
      <c r="L1054" s="13">
        <v>30</v>
      </c>
    </row>
    <row r="1055" spans="1:12" s="10" customFormat="1" ht="18" x14ac:dyDescent="0.25">
      <c r="A1055" s="11">
        <v>1051</v>
      </c>
      <c r="B1055" s="12" t="s">
        <v>526</v>
      </c>
      <c r="C1055" s="12" t="s">
        <v>527</v>
      </c>
      <c r="D1055" s="12" t="s">
        <v>579</v>
      </c>
      <c r="E1055" s="12" t="s">
        <v>580</v>
      </c>
      <c r="F1055" s="12" t="s">
        <v>568</v>
      </c>
      <c r="G1055" s="12" t="s">
        <v>19</v>
      </c>
      <c r="H1055" s="12" t="s">
        <v>20</v>
      </c>
      <c r="I1055" s="12">
        <v>1</v>
      </c>
      <c r="J1055" s="12" t="s">
        <v>21</v>
      </c>
      <c r="K1055" s="12" t="s">
        <v>22</v>
      </c>
      <c r="L1055" s="13">
        <v>30</v>
      </c>
    </row>
    <row r="1056" spans="1:12" s="10" customFormat="1" ht="18" x14ac:dyDescent="0.25">
      <c r="A1056" s="11">
        <v>1052</v>
      </c>
      <c r="B1056" s="12" t="s">
        <v>526</v>
      </c>
      <c r="C1056" s="12" t="s">
        <v>527</v>
      </c>
      <c r="D1056" s="12" t="s">
        <v>581</v>
      </c>
      <c r="E1056" s="12" t="s">
        <v>582</v>
      </c>
      <c r="F1056" s="12" t="s">
        <v>568</v>
      </c>
      <c r="G1056" s="12" t="s">
        <v>19</v>
      </c>
      <c r="H1056" s="12" t="s">
        <v>20</v>
      </c>
      <c r="I1056" s="12">
        <v>1</v>
      </c>
      <c r="J1056" s="12" t="s">
        <v>21</v>
      </c>
      <c r="K1056" s="12" t="s">
        <v>22</v>
      </c>
      <c r="L1056" s="13">
        <v>30</v>
      </c>
    </row>
    <row r="1057" spans="1:12" s="10" customFormat="1" ht="18" x14ac:dyDescent="0.25">
      <c r="A1057" s="11">
        <v>1053</v>
      </c>
      <c r="B1057" s="12" t="s">
        <v>526</v>
      </c>
      <c r="C1057" s="12" t="s">
        <v>527</v>
      </c>
      <c r="D1057" s="12" t="s">
        <v>583</v>
      </c>
      <c r="E1057" s="12" t="s">
        <v>584</v>
      </c>
      <c r="F1057" s="12" t="s">
        <v>585</v>
      </c>
      <c r="G1057" s="12" t="s">
        <v>19</v>
      </c>
      <c r="H1057" s="12" t="s">
        <v>20</v>
      </c>
      <c r="I1057" s="12">
        <v>1</v>
      </c>
      <c r="J1057" s="12" t="s">
        <v>21</v>
      </c>
      <c r="K1057" s="12" t="s">
        <v>22</v>
      </c>
      <c r="L1057" s="13">
        <v>25</v>
      </c>
    </row>
    <row r="1058" spans="1:12" s="10" customFormat="1" ht="18" x14ac:dyDescent="0.25">
      <c r="A1058" s="11">
        <v>1054</v>
      </c>
      <c r="B1058" s="12" t="s">
        <v>526</v>
      </c>
      <c r="C1058" s="12" t="s">
        <v>527</v>
      </c>
      <c r="D1058" s="12" t="s">
        <v>586</v>
      </c>
      <c r="E1058" s="12" t="s">
        <v>587</v>
      </c>
      <c r="F1058" s="12" t="s">
        <v>585</v>
      </c>
      <c r="G1058" s="12" t="s">
        <v>19</v>
      </c>
      <c r="H1058" s="12" t="s">
        <v>20</v>
      </c>
      <c r="I1058" s="12">
        <v>1</v>
      </c>
      <c r="J1058" s="12" t="s">
        <v>21</v>
      </c>
      <c r="K1058" s="12" t="s">
        <v>22</v>
      </c>
      <c r="L1058" s="13">
        <v>25</v>
      </c>
    </row>
    <row r="1059" spans="1:12" s="10" customFormat="1" ht="18" x14ac:dyDescent="0.25">
      <c r="A1059" s="11">
        <v>1055</v>
      </c>
      <c r="B1059" s="12" t="s">
        <v>526</v>
      </c>
      <c r="C1059" s="12" t="s">
        <v>527</v>
      </c>
      <c r="D1059" s="12" t="s">
        <v>588</v>
      </c>
      <c r="E1059" s="12" t="s">
        <v>589</v>
      </c>
      <c r="F1059" s="12" t="s">
        <v>585</v>
      </c>
      <c r="G1059" s="12" t="s">
        <v>19</v>
      </c>
      <c r="H1059" s="12" t="s">
        <v>20</v>
      </c>
      <c r="I1059" s="12">
        <v>1</v>
      </c>
      <c r="J1059" s="12" t="s">
        <v>21</v>
      </c>
      <c r="K1059" s="12" t="s">
        <v>22</v>
      </c>
      <c r="L1059" s="13">
        <v>25</v>
      </c>
    </row>
    <row r="1060" spans="1:12" s="10" customFormat="1" ht="18" x14ac:dyDescent="0.25">
      <c r="A1060" s="11">
        <v>1056</v>
      </c>
      <c r="B1060" s="12" t="s">
        <v>526</v>
      </c>
      <c r="C1060" s="12" t="s">
        <v>527</v>
      </c>
      <c r="D1060" s="12" t="s">
        <v>590</v>
      </c>
      <c r="E1060" s="12" t="s">
        <v>591</v>
      </c>
      <c r="F1060" s="12" t="s">
        <v>585</v>
      </c>
      <c r="G1060" s="12" t="s">
        <v>19</v>
      </c>
      <c r="H1060" s="12" t="s">
        <v>20</v>
      </c>
      <c r="I1060" s="12">
        <v>1</v>
      </c>
      <c r="J1060" s="12" t="s">
        <v>21</v>
      </c>
      <c r="K1060" s="12" t="s">
        <v>22</v>
      </c>
      <c r="L1060" s="13">
        <v>25</v>
      </c>
    </row>
    <row r="1061" spans="1:12" s="10" customFormat="1" ht="18" x14ac:dyDescent="0.25">
      <c r="A1061" s="11">
        <v>1057</v>
      </c>
      <c r="B1061" s="12" t="s">
        <v>526</v>
      </c>
      <c r="C1061" s="12" t="s">
        <v>527</v>
      </c>
      <c r="D1061" s="12" t="s">
        <v>592</v>
      </c>
      <c r="E1061" s="12" t="s">
        <v>593</v>
      </c>
      <c r="F1061" s="12" t="s">
        <v>585</v>
      </c>
      <c r="G1061" s="12" t="s">
        <v>19</v>
      </c>
      <c r="H1061" s="12" t="s">
        <v>20</v>
      </c>
      <c r="I1061" s="12">
        <v>1</v>
      </c>
      <c r="J1061" s="12" t="s">
        <v>21</v>
      </c>
      <c r="K1061" s="12" t="s">
        <v>22</v>
      </c>
      <c r="L1061" s="13">
        <v>25</v>
      </c>
    </row>
    <row r="1062" spans="1:12" s="10" customFormat="1" ht="18" x14ac:dyDescent="0.25">
      <c r="A1062" s="11">
        <v>1058</v>
      </c>
      <c r="B1062" s="12" t="s">
        <v>526</v>
      </c>
      <c r="C1062" s="12" t="s">
        <v>527</v>
      </c>
      <c r="D1062" s="12" t="s">
        <v>594</v>
      </c>
      <c r="E1062" s="12" t="s">
        <v>595</v>
      </c>
      <c r="F1062" s="12" t="s">
        <v>585</v>
      </c>
      <c r="G1062" s="12" t="s">
        <v>19</v>
      </c>
      <c r="H1062" s="12" t="s">
        <v>20</v>
      </c>
      <c r="I1062" s="12">
        <v>1</v>
      </c>
      <c r="J1062" s="12" t="s">
        <v>21</v>
      </c>
      <c r="K1062" s="12" t="s">
        <v>22</v>
      </c>
      <c r="L1062" s="13">
        <v>25</v>
      </c>
    </row>
    <row r="1063" spans="1:12" s="10" customFormat="1" ht="18" x14ac:dyDescent="0.25">
      <c r="A1063" s="11">
        <v>1059</v>
      </c>
      <c r="B1063" s="12" t="s">
        <v>526</v>
      </c>
      <c r="C1063" s="12" t="s">
        <v>527</v>
      </c>
      <c r="D1063" s="12" t="s">
        <v>596</v>
      </c>
      <c r="E1063" s="12" t="s">
        <v>597</v>
      </c>
      <c r="F1063" s="12" t="s">
        <v>585</v>
      </c>
      <c r="G1063" s="12" t="s">
        <v>19</v>
      </c>
      <c r="H1063" s="12" t="s">
        <v>20</v>
      </c>
      <c r="I1063" s="12">
        <v>1</v>
      </c>
      <c r="J1063" s="12" t="s">
        <v>21</v>
      </c>
      <c r="K1063" s="12" t="s">
        <v>22</v>
      </c>
      <c r="L1063" s="13">
        <v>25</v>
      </c>
    </row>
    <row r="1064" spans="1:12" s="10" customFormat="1" ht="18" x14ac:dyDescent="0.25">
      <c r="A1064" s="11">
        <v>1060</v>
      </c>
      <c r="B1064" s="12" t="s">
        <v>526</v>
      </c>
      <c r="C1064" s="12" t="s">
        <v>527</v>
      </c>
      <c r="D1064" s="12" t="s">
        <v>598</v>
      </c>
      <c r="E1064" s="12" t="s">
        <v>599</v>
      </c>
      <c r="F1064" s="12" t="s">
        <v>585</v>
      </c>
      <c r="G1064" s="12" t="s">
        <v>19</v>
      </c>
      <c r="H1064" s="12" t="s">
        <v>20</v>
      </c>
      <c r="I1064" s="12">
        <v>1</v>
      </c>
      <c r="J1064" s="12" t="s">
        <v>21</v>
      </c>
      <c r="K1064" s="12" t="s">
        <v>22</v>
      </c>
      <c r="L1064" s="13">
        <v>25</v>
      </c>
    </row>
    <row r="1065" spans="1:12" s="10" customFormat="1" ht="18" x14ac:dyDescent="0.25">
      <c r="A1065" s="11">
        <v>1061</v>
      </c>
      <c r="B1065" s="12" t="s">
        <v>526</v>
      </c>
      <c r="C1065" s="12" t="s">
        <v>527</v>
      </c>
      <c r="D1065" s="12" t="s">
        <v>600</v>
      </c>
      <c r="E1065" s="12" t="s">
        <v>601</v>
      </c>
      <c r="F1065" s="12" t="s">
        <v>602</v>
      </c>
      <c r="G1065" s="12" t="s">
        <v>19</v>
      </c>
      <c r="H1065" s="12" t="s">
        <v>20</v>
      </c>
      <c r="I1065" s="12">
        <v>1</v>
      </c>
      <c r="J1065" s="12" t="s">
        <v>21</v>
      </c>
      <c r="K1065" s="12" t="s">
        <v>22</v>
      </c>
      <c r="L1065" s="13">
        <v>200</v>
      </c>
    </row>
    <row r="1066" spans="1:12" s="10" customFormat="1" ht="18" x14ac:dyDescent="0.25">
      <c r="A1066" s="11">
        <v>1062</v>
      </c>
      <c r="B1066" s="12" t="s">
        <v>526</v>
      </c>
      <c r="C1066" s="12" t="s">
        <v>527</v>
      </c>
      <c r="D1066" s="12" t="s">
        <v>603</v>
      </c>
      <c r="E1066" s="12" t="s">
        <v>604</v>
      </c>
      <c r="F1066" s="12" t="s">
        <v>602</v>
      </c>
      <c r="G1066" s="12" t="s">
        <v>19</v>
      </c>
      <c r="H1066" s="12" t="s">
        <v>20</v>
      </c>
      <c r="I1066" s="12">
        <v>1</v>
      </c>
      <c r="J1066" s="12" t="s">
        <v>21</v>
      </c>
      <c r="K1066" s="12" t="s">
        <v>22</v>
      </c>
      <c r="L1066" s="13">
        <v>200</v>
      </c>
    </row>
    <row r="1067" spans="1:12" s="10" customFormat="1" ht="18" x14ac:dyDescent="0.25">
      <c r="A1067" s="11">
        <v>1063</v>
      </c>
      <c r="B1067" s="12" t="s">
        <v>526</v>
      </c>
      <c r="C1067" s="12" t="s">
        <v>527</v>
      </c>
      <c r="D1067" s="12" t="s">
        <v>605</v>
      </c>
      <c r="E1067" s="12" t="s">
        <v>606</v>
      </c>
      <c r="F1067" s="12" t="s">
        <v>602</v>
      </c>
      <c r="G1067" s="12" t="s">
        <v>19</v>
      </c>
      <c r="H1067" s="12" t="s">
        <v>20</v>
      </c>
      <c r="I1067" s="12">
        <v>1</v>
      </c>
      <c r="J1067" s="12" t="s">
        <v>21</v>
      </c>
      <c r="K1067" s="12" t="s">
        <v>22</v>
      </c>
      <c r="L1067" s="13">
        <v>200</v>
      </c>
    </row>
    <row r="1068" spans="1:12" s="10" customFormat="1" ht="18" x14ac:dyDescent="0.25">
      <c r="A1068" s="11">
        <v>1064</v>
      </c>
      <c r="B1068" s="12" t="s">
        <v>526</v>
      </c>
      <c r="C1068" s="12" t="s">
        <v>527</v>
      </c>
      <c r="D1068" s="12" t="s">
        <v>607</v>
      </c>
      <c r="E1068" s="12" t="s">
        <v>608</v>
      </c>
      <c r="F1068" s="12" t="s">
        <v>609</v>
      </c>
      <c r="G1068" s="12" t="s">
        <v>19</v>
      </c>
      <c r="H1068" s="12" t="s">
        <v>20</v>
      </c>
      <c r="I1068" s="12">
        <v>1</v>
      </c>
      <c r="J1068" s="12" t="s">
        <v>21</v>
      </c>
      <c r="K1068" s="12" t="s">
        <v>22</v>
      </c>
      <c r="L1068" s="13">
        <v>1500</v>
      </c>
    </row>
    <row r="1069" spans="1:12" s="10" customFormat="1" ht="18" x14ac:dyDescent="0.25">
      <c r="A1069" s="11">
        <v>1065</v>
      </c>
      <c r="B1069" s="12" t="s">
        <v>526</v>
      </c>
      <c r="C1069" s="12" t="s">
        <v>527</v>
      </c>
      <c r="D1069" s="12" t="s">
        <v>610</v>
      </c>
      <c r="E1069" s="12" t="s">
        <v>611</v>
      </c>
      <c r="F1069" s="12" t="s">
        <v>612</v>
      </c>
      <c r="G1069" s="12" t="s">
        <v>19</v>
      </c>
      <c r="H1069" s="12" t="s">
        <v>20</v>
      </c>
      <c r="I1069" s="12">
        <v>1</v>
      </c>
      <c r="J1069" s="12" t="s">
        <v>21</v>
      </c>
      <c r="K1069" s="12" t="s">
        <v>22</v>
      </c>
      <c r="L1069" s="13">
        <v>40</v>
      </c>
    </row>
    <row r="1070" spans="1:12" s="10" customFormat="1" ht="18" x14ac:dyDescent="0.25">
      <c r="A1070" s="11">
        <v>1066</v>
      </c>
      <c r="B1070" s="12" t="s">
        <v>526</v>
      </c>
      <c r="C1070" s="12" t="s">
        <v>527</v>
      </c>
      <c r="D1070" s="12" t="s">
        <v>613</v>
      </c>
      <c r="E1070" s="12" t="s">
        <v>614</v>
      </c>
      <c r="F1070" s="12" t="s">
        <v>612</v>
      </c>
      <c r="G1070" s="12" t="s">
        <v>19</v>
      </c>
      <c r="H1070" s="12" t="s">
        <v>20</v>
      </c>
      <c r="I1070" s="12">
        <v>1</v>
      </c>
      <c r="J1070" s="12" t="s">
        <v>21</v>
      </c>
      <c r="K1070" s="12" t="s">
        <v>22</v>
      </c>
      <c r="L1070" s="13">
        <v>40</v>
      </c>
    </row>
    <row r="1071" spans="1:12" s="10" customFormat="1" ht="18" x14ac:dyDescent="0.25">
      <c r="A1071" s="11">
        <v>1067</v>
      </c>
      <c r="B1071" s="12" t="s">
        <v>526</v>
      </c>
      <c r="C1071" s="12" t="s">
        <v>527</v>
      </c>
      <c r="D1071" s="12" t="s">
        <v>615</v>
      </c>
      <c r="E1071" s="12" t="s">
        <v>616</v>
      </c>
      <c r="F1071" s="12" t="s">
        <v>612</v>
      </c>
      <c r="G1071" s="12" t="s">
        <v>19</v>
      </c>
      <c r="H1071" s="12" t="s">
        <v>20</v>
      </c>
      <c r="I1071" s="12">
        <v>1</v>
      </c>
      <c r="J1071" s="12" t="s">
        <v>21</v>
      </c>
      <c r="K1071" s="12" t="s">
        <v>22</v>
      </c>
      <c r="L1071" s="13">
        <v>40</v>
      </c>
    </row>
    <row r="1072" spans="1:12" s="10" customFormat="1" ht="18" x14ac:dyDescent="0.25">
      <c r="A1072" s="11">
        <v>1068</v>
      </c>
      <c r="B1072" s="12" t="s">
        <v>526</v>
      </c>
      <c r="C1072" s="12" t="s">
        <v>527</v>
      </c>
      <c r="D1072" s="12" t="s">
        <v>617</v>
      </c>
      <c r="E1072" s="12" t="s">
        <v>618</v>
      </c>
      <c r="F1072" s="12" t="s">
        <v>612</v>
      </c>
      <c r="G1072" s="12" t="s">
        <v>19</v>
      </c>
      <c r="H1072" s="12" t="s">
        <v>20</v>
      </c>
      <c r="I1072" s="12">
        <v>1</v>
      </c>
      <c r="J1072" s="12" t="s">
        <v>21</v>
      </c>
      <c r="K1072" s="12" t="s">
        <v>22</v>
      </c>
      <c r="L1072" s="13">
        <v>40</v>
      </c>
    </row>
    <row r="1073" spans="1:12" s="10" customFormat="1" ht="18" x14ac:dyDescent="0.25">
      <c r="A1073" s="11">
        <v>1069</v>
      </c>
      <c r="B1073" s="12" t="s">
        <v>526</v>
      </c>
      <c r="C1073" s="12" t="s">
        <v>527</v>
      </c>
      <c r="D1073" s="12" t="s">
        <v>619</v>
      </c>
      <c r="E1073" s="12" t="s">
        <v>620</v>
      </c>
      <c r="F1073" s="12" t="s">
        <v>612</v>
      </c>
      <c r="G1073" s="12" t="s">
        <v>19</v>
      </c>
      <c r="H1073" s="12" t="s">
        <v>20</v>
      </c>
      <c r="I1073" s="12">
        <v>1</v>
      </c>
      <c r="J1073" s="12" t="s">
        <v>21</v>
      </c>
      <c r="K1073" s="12" t="s">
        <v>22</v>
      </c>
      <c r="L1073" s="13">
        <v>40</v>
      </c>
    </row>
    <row r="1074" spans="1:12" s="10" customFormat="1" ht="18" x14ac:dyDescent="0.25">
      <c r="A1074" s="11">
        <v>1070</v>
      </c>
      <c r="B1074" s="12" t="s">
        <v>526</v>
      </c>
      <c r="C1074" s="12" t="s">
        <v>527</v>
      </c>
      <c r="D1074" s="12" t="s">
        <v>621</v>
      </c>
      <c r="E1074" s="12" t="s">
        <v>622</v>
      </c>
      <c r="F1074" s="12" t="s">
        <v>612</v>
      </c>
      <c r="G1074" s="12" t="s">
        <v>19</v>
      </c>
      <c r="H1074" s="12" t="s">
        <v>20</v>
      </c>
      <c r="I1074" s="12">
        <v>1</v>
      </c>
      <c r="J1074" s="12" t="s">
        <v>21</v>
      </c>
      <c r="K1074" s="12" t="s">
        <v>22</v>
      </c>
      <c r="L1074" s="13">
        <v>40</v>
      </c>
    </row>
    <row r="1075" spans="1:12" s="10" customFormat="1" ht="18" x14ac:dyDescent="0.25">
      <c r="A1075" s="11">
        <v>1071</v>
      </c>
      <c r="B1075" s="12" t="s">
        <v>526</v>
      </c>
      <c r="C1075" s="12" t="s">
        <v>527</v>
      </c>
      <c r="D1075" s="12" t="s">
        <v>623</v>
      </c>
      <c r="E1075" s="12" t="s">
        <v>624</v>
      </c>
      <c r="F1075" s="12" t="s">
        <v>612</v>
      </c>
      <c r="G1075" s="12" t="s">
        <v>19</v>
      </c>
      <c r="H1075" s="12" t="s">
        <v>20</v>
      </c>
      <c r="I1075" s="12">
        <v>1</v>
      </c>
      <c r="J1075" s="12" t="s">
        <v>21</v>
      </c>
      <c r="K1075" s="12" t="s">
        <v>22</v>
      </c>
      <c r="L1075" s="13">
        <v>40</v>
      </c>
    </row>
    <row r="1076" spans="1:12" s="10" customFormat="1" ht="18" x14ac:dyDescent="0.25">
      <c r="A1076" s="11">
        <v>1072</v>
      </c>
      <c r="B1076" s="12" t="s">
        <v>526</v>
      </c>
      <c r="C1076" s="12" t="s">
        <v>527</v>
      </c>
      <c r="D1076" s="12" t="s">
        <v>625</v>
      </c>
      <c r="E1076" s="12" t="s">
        <v>626</v>
      </c>
      <c r="F1076" s="12" t="s">
        <v>627</v>
      </c>
      <c r="G1076" s="12" t="s">
        <v>19</v>
      </c>
      <c r="H1076" s="12" t="s">
        <v>20</v>
      </c>
      <c r="I1076" s="12">
        <v>1</v>
      </c>
      <c r="J1076" s="12" t="s">
        <v>21</v>
      </c>
      <c r="K1076" s="12" t="s">
        <v>22</v>
      </c>
      <c r="L1076" s="13">
        <v>30</v>
      </c>
    </row>
    <row r="1077" spans="1:12" s="10" customFormat="1" ht="18" x14ac:dyDescent="0.25">
      <c r="A1077" s="11">
        <v>1073</v>
      </c>
      <c r="B1077" s="12" t="s">
        <v>526</v>
      </c>
      <c r="C1077" s="12" t="s">
        <v>527</v>
      </c>
      <c r="D1077" s="12" t="s">
        <v>628</v>
      </c>
      <c r="E1077" s="12" t="s">
        <v>629</v>
      </c>
      <c r="F1077" s="12" t="s">
        <v>627</v>
      </c>
      <c r="G1077" s="12" t="s">
        <v>19</v>
      </c>
      <c r="H1077" s="12" t="s">
        <v>20</v>
      </c>
      <c r="I1077" s="12">
        <v>1</v>
      </c>
      <c r="J1077" s="12" t="s">
        <v>21</v>
      </c>
      <c r="K1077" s="12" t="s">
        <v>22</v>
      </c>
      <c r="L1077" s="13">
        <v>30</v>
      </c>
    </row>
    <row r="1078" spans="1:12" s="10" customFormat="1" ht="18" x14ac:dyDescent="0.25">
      <c r="A1078" s="11">
        <v>1074</v>
      </c>
      <c r="B1078" s="12" t="s">
        <v>526</v>
      </c>
      <c r="C1078" s="12" t="s">
        <v>527</v>
      </c>
      <c r="D1078" s="12" t="s">
        <v>630</v>
      </c>
      <c r="E1078" s="12" t="s">
        <v>631</v>
      </c>
      <c r="F1078" s="12" t="s">
        <v>632</v>
      </c>
      <c r="G1078" s="12" t="s">
        <v>19</v>
      </c>
      <c r="H1078" s="12" t="s">
        <v>20</v>
      </c>
      <c r="I1078" s="12">
        <v>1</v>
      </c>
      <c r="J1078" s="12" t="s">
        <v>21</v>
      </c>
      <c r="K1078" s="12" t="s">
        <v>22</v>
      </c>
      <c r="L1078" s="13">
        <v>50</v>
      </c>
    </row>
    <row r="1079" spans="1:12" s="10" customFormat="1" ht="18" x14ac:dyDescent="0.25">
      <c r="A1079" s="11">
        <v>1075</v>
      </c>
      <c r="B1079" s="12" t="s">
        <v>526</v>
      </c>
      <c r="C1079" s="12" t="s">
        <v>527</v>
      </c>
      <c r="D1079" s="12" t="s">
        <v>633</v>
      </c>
      <c r="E1079" s="12" t="s">
        <v>634</v>
      </c>
      <c r="F1079" s="12" t="s">
        <v>635</v>
      </c>
      <c r="G1079" s="12" t="s">
        <v>19</v>
      </c>
      <c r="H1079" s="12" t="s">
        <v>20</v>
      </c>
      <c r="I1079" s="12">
        <v>1</v>
      </c>
      <c r="J1079" s="12" t="s">
        <v>21</v>
      </c>
      <c r="K1079" s="12" t="s">
        <v>22</v>
      </c>
      <c r="L1079" s="13">
        <v>150</v>
      </c>
    </row>
    <row r="1080" spans="1:12" s="10" customFormat="1" ht="18" x14ac:dyDescent="0.25">
      <c r="A1080" s="11">
        <v>1076</v>
      </c>
      <c r="B1080" s="12" t="s">
        <v>526</v>
      </c>
      <c r="C1080" s="12" t="s">
        <v>527</v>
      </c>
      <c r="D1080" s="12" t="s">
        <v>636</v>
      </c>
      <c r="E1080" s="12" t="s">
        <v>637</v>
      </c>
      <c r="F1080" s="12" t="s">
        <v>635</v>
      </c>
      <c r="G1080" s="12" t="s">
        <v>19</v>
      </c>
      <c r="H1080" s="12" t="s">
        <v>20</v>
      </c>
      <c r="I1080" s="12">
        <v>1</v>
      </c>
      <c r="J1080" s="12" t="s">
        <v>21</v>
      </c>
      <c r="K1080" s="12" t="s">
        <v>22</v>
      </c>
      <c r="L1080" s="13">
        <v>150</v>
      </c>
    </row>
    <row r="1081" spans="1:12" s="10" customFormat="1" ht="18" x14ac:dyDescent="0.25">
      <c r="A1081" s="11">
        <v>1077</v>
      </c>
      <c r="B1081" s="12" t="s">
        <v>526</v>
      </c>
      <c r="C1081" s="12" t="s">
        <v>527</v>
      </c>
      <c r="D1081" s="12" t="s">
        <v>638</v>
      </c>
      <c r="E1081" s="12" t="s">
        <v>639</v>
      </c>
      <c r="F1081" s="12" t="s">
        <v>640</v>
      </c>
      <c r="G1081" s="12" t="s">
        <v>19</v>
      </c>
      <c r="H1081" s="12" t="s">
        <v>20</v>
      </c>
      <c r="I1081" s="12">
        <v>1</v>
      </c>
      <c r="J1081" s="12" t="s">
        <v>21</v>
      </c>
      <c r="K1081" s="12" t="s">
        <v>22</v>
      </c>
      <c r="L1081" s="13">
        <v>50</v>
      </c>
    </row>
    <row r="1082" spans="1:12" s="10" customFormat="1" ht="18" x14ac:dyDescent="0.25">
      <c r="A1082" s="11">
        <v>1078</v>
      </c>
      <c r="B1082" s="12" t="s">
        <v>526</v>
      </c>
      <c r="C1082" s="12" t="s">
        <v>527</v>
      </c>
      <c r="D1082" s="12" t="s">
        <v>641</v>
      </c>
      <c r="E1082" s="12" t="s">
        <v>642</v>
      </c>
      <c r="F1082" s="12" t="s">
        <v>640</v>
      </c>
      <c r="G1082" s="12" t="s">
        <v>19</v>
      </c>
      <c r="H1082" s="12" t="s">
        <v>20</v>
      </c>
      <c r="I1082" s="12">
        <v>1</v>
      </c>
      <c r="J1082" s="12" t="s">
        <v>21</v>
      </c>
      <c r="K1082" s="12" t="s">
        <v>22</v>
      </c>
      <c r="L1082" s="13">
        <v>50</v>
      </c>
    </row>
    <row r="1083" spans="1:12" s="10" customFormat="1" ht="18" x14ac:dyDescent="0.25">
      <c r="A1083" s="11">
        <v>1079</v>
      </c>
      <c r="B1083" s="12" t="s">
        <v>526</v>
      </c>
      <c r="C1083" s="12" t="s">
        <v>527</v>
      </c>
      <c r="D1083" s="12" t="s">
        <v>643</v>
      </c>
      <c r="E1083" s="12" t="s">
        <v>644</v>
      </c>
      <c r="F1083" s="12" t="s">
        <v>640</v>
      </c>
      <c r="G1083" s="12" t="s">
        <v>19</v>
      </c>
      <c r="H1083" s="12" t="s">
        <v>20</v>
      </c>
      <c r="I1083" s="12">
        <v>1</v>
      </c>
      <c r="J1083" s="12" t="s">
        <v>21</v>
      </c>
      <c r="K1083" s="12" t="s">
        <v>22</v>
      </c>
      <c r="L1083" s="13">
        <v>50</v>
      </c>
    </row>
    <row r="1084" spans="1:12" s="10" customFormat="1" ht="18" x14ac:dyDescent="0.25">
      <c r="A1084" s="11">
        <v>1080</v>
      </c>
      <c r="B1084" s="12" t="s">
        <v>526</v>
      </c>
      <c r="C1084" s="12" t="s">
        <v>527</v>
      </c>
      <c r="D1084" s="12" t="s">
        <v>645</v>
      </c>
      <c r="E1084" s="12" t="s">
        <v>646</v>
      </c>
      <c r="F1084" s="12" t="s">
        <v>640</v>
      </c>
      <c r="G1084" s="12" t="s">
        <v>19</v>
      </c>
      <c r="H1084" s="12" t="s">
        <v>20</v>
      </c>
      <c r="I1084" s="12">
        <v>1</v>
      </c>
      <c r="J1084" s="12" t="s">
        <v>21</v>
      </c>
      <c r="K1084" s="12" t="s">
        <v>22</v>
      </c>
      <c r="L1084" s="13">
        <v>50</v>
      </c>
    </row>
    <row r="1085" spans="1:12" s="10" customFormat="1" ht="18" x14ac:dyDescent="0.25">
      <c r="A1085" s="11">
        <v>1081</v>
      </c>
      <c r="B1085" s="12" t="s">
        <v>526</v>
      </c>
      <c r="C1085" s="12" t="s">
        <v>527</v>
      </c>
      <c r="D1085" s="12" t="s">
        <v>647</v>
      </c>
      <c r="E1085" s="12" t="s">
        <v>648</v>
      </c>
      <c r="F1085" s="12" t="s">
        <v>649</v>
      </c>
      <c r="G1085" s="12" t="s">
        <v>19</v>
      </c>
      <c r="H1085" s="12" t="s">
        <v>20</v>
      </c>
      <c r="I1085" s="12">
        <v>1</v>
      </c>
      <c r="J1085" s="12" t="s">
        <v>21</v>
      </c>
      <c r="K1085" s="12" t="s">
        <v>22</v>
      </c>
      <c r="L1085" s="13">
        <v>50</v>
      </c>
    </row>
    <row r="1086" spans="1:12" s="10" customFormat="1" ht="18" x14ac:dyDescent="0.25">
      <c r="A1086" s="11">
        <v>1082</v>
      </c>
      <c r="B1086" s="12" t="s">
        <v>650</v>
      </c>
      <c r="C1086" s="12" t="str">
        <f t="shared" ref="C1086:C1106" si="43">"140504"</f>
        <v>140504</v>
      </c>
      <c r="D1086" s="12" t="str">
        <f>"14.140504/2024.00374/BC.I."</f>
        <v>14.140504/2024.00374/BC.I.</v>
      </c>
      <c r="E1086" s="12" t="str">
        <f>"200580086547"</f>
        <v>200580086547</v>
      </c>
      <c r="F1086" s="12" t="str">
        <f t="shared" ref="F1086:F1093" si="44">"COMPUTADORA/MICROCOMPUTADORA"</f>
        <v>COMPUTADORA/MICROCOMPUTADORA</v>
      </c>
      <c r="G1086" s="12" t="s">
        <v>19</v>
      </c>
      <c r="H1086" s="12" t="s">
        <v>20</v>
      </c>
      <c r="I1086" s="12">
        <v>1</v>
      </c>
      <c r="J1086" s="12" t="s">
        <v>21</v>
      </c>
      <c r="K1086" s="12" t="s">
        <v>22</v>
      </c>
      <c r="L1086" s="13">
        <v>35</v>
      </c>
    </row>
    <row r="1087" spans="1:12" s="10" customFormat="1" ht="18" x14ac:dyDescent="0.25">
      <c r="A1087" s="11">
        <v>1083</v>
      </c>
      <c r="B1087" s="12" t="s">
        <v>650</v>
      </c>
      <c r="C1087" s="12" t="str">
        <f t="shared" si="43"/>
        <v>140504</v>
      </c>
      <c r="D1087" s="12" t="str">
        <f>"14.140504/2024.00370/BC.I."</f>
        <v>14.140504/2024.00370/BC.I.</v>
      </c>
      <c r="E1087" s="12" t="str">
        <f>"200880051348"</f>
        <v>200880051348</v>
      </c>
      <c r="F1087" s="12" t="str">
        <f t="shared" si="44"/>
        <v>COMPUTADORA/MICROCOMPUTADORA</v>
      </c>
      <c r="G1087" s="12" t="s">
        <v>19</v>
      </c>
      <c r="H1087" s="12" t="s">
        <v>20</v>
      </c>
      <c r="I1087" s="12">
        <v>1</v>
      </c>
      <c r="J1087" s="12" t="s">
        <v>21</v>
      </c>
      <c r="K1087" s="12" t="s">
        <v>22</v>
      </c>
      <c r="L1087" s="13">
        <v>35</v>
      </c>
    </row>
    <row r="1088" spans="1:12" s="10" customFormat="1" ht="18" x14ac:dyDescent="0.25">
      <c r="A1088" s="11">
        <v>1084</v>
      </c>
      <c r="B1088" s="12" t="s">
        <v>650</v>
      </c>
      <c r="C1088" s="12" t="str">
        <f t="shared" si="43"/>
        <v>140504</v>
      </c>
      <c r="D1088" s="12" t="str">
        <f>"14.140504/2024.00373/BC.I."</f>
        <v>14.140504/2024.00373/BC.I.</v>
      </c>
      <c r="E1088" s="12" t="str">
        <f>"200880051769"</f>
        <v>200880051769</v>
      </c>
      <c r="F1088" s="12" t="str">
        <f t="shared" si="44"/>
        <v>COMPUTADORA/MICROCOMPUTADORA</v>
      </c>
      <c r="G1088" s="12" t="s">
        <v>19</v>
      </c>
      <c r="H1088" s="12" t="s">
        <v>20</v>
      </c>
      <c r="I1088" s="12">
        <v>1</v>
      </c>
      <c r="J1088" s="12" t="s">
        <v>21</v>
      </c>
      <c r="K1088" s="12" t="s">
        <v>22</v>
      </c>
      <c r="L1088" s="13">
        <v>35</v>
      </c>
    </row>
    <row r="1089" spans="1:12" s="10" customFormat="1" ht="18" x14ac:dyDescent="0.25">
      <c r="A1089" s="11">
        <v>1085</v>
      </c>
      <c r="B1089" s="12" t="s">
        <v>650</v>
      </c>
      <c r="C1089" s="12" t="str">
        <f t="shared" si="43"/>
        <v>140504</v>
      </c>
      <c r="D1089" s="12" t="str">
        <f>"14.140504/2024.00367/BC.I."</f>
        <v>14.140504/2024.00367/BC.I.</v>
      </c>
      <c r="E1089" s="12" t="str">
        <f>"201080053978"</f>
        <v>201080053978</v>
      </c>
      <c r="F1089" s="12" t="str">
        <f t="shared" si="44"/>
        <v>COMPUTADORA/MICROCOMPUTADORA</v>
      </c>
      <c r="G1089" s="12" t="s">
        <v>19</v>
      </c>
      <c r="H1089" s="12" t="s">
        <v>20</v>
      </c>
      <c r="I1089" s="12">
        <v>1</v>
      </c>
      <c r="J1089" s="12" t="s">
        <v>21</v>
      </c>
      <c r="K1089" s="12" t="s">
        <v>22</v>
      </c>
      <c r="L1089" s="13">
        <v>35</v>
      </c>
    </row>
    <row r="1090" spans="1:12" s="10" customFormat="1" ht="18" x14ac:dyDescent="0.25">
      <c r="A1090" s="11">
        <v>1086</v>
      </c>
      <c r="B1090" s="12" t="s">
        <v>650</v>
      </c>
      <c r="C1090" s="12" t="str">
        <f t="shared" si="43"/>
        <v>140504</v>
      </c>
      <c r="D1090" s="12" t="str">
        <f>"14.140504/2024.00368/BC.I."</f>
        <v>14.140504/2024.00368/BC.I.</v>
      </c>
      <c r="E1090" s="12" t="str">
        <f>"201080059708"</f>
        <v>201080059708</v>
      </c>
      <c r="F1090" s="12" t="str">
        <f t="shared" si="44"/>
        <v>COMPUTADORA/MICROCOMPUTADORA</v>
      </c>
      <c r="G1090" s="12" t="s">
        <v>19</v>
      </c>
      <c r="H1090" s="12" t="s">
        <v>20</v>
      </c>
      <c r="I1090" s="12">
        <v>1</v>
      </c>
      <c r="J1090" s="12" t="s">
        <v>21</v>
      </c>
      <c r="K1090" s="12" t="s">
        <v>22</v>
      </c>
      <c r="L1090" s="13">
        <v>35</v>
      </c>
    </row>
    <row r="1091" spans="1:12" s="10" customFormat="1" ht="18" x14ac:dyDescent="0.25">
      <c r="A1091" s="11">
        <v>1087</v>
      </c>
      <c r="B1091" s="12" t="s">
        <v>650</v>
      </c>
      <c r="C1091" s="12" t="str">
        <f t="shared" si="43"/>
        <v>140504</v>
      </c>
      <c r="D1091" s="12" t="str">
        <f>"14.140504/2024.00369/BC.I."</f>
        <v>14.140504/2024.00369/BC.I.</v>
      </c>
      <c r="E1091" s="12" t="str">
        <f>"201080059715"</f>
        <v>201080059715</v>
      </c>
      <c r="F1091" s="12" t="str">
        <f t="shared" si="44"/>
        <v>COMPUTADORA/MICROCOMPUTADORA</v>
      </c>
      <c r="G1091" s="12" t="s">
        <v>19</v>
      </c>
      <c r="H1091" s="12" t="s">
        <v>20</v>
      </c>
      <c r="I1091" s="12">
        <v>1</v>
      </c>
      <c r="J1091" s="12" t="s">
        <v>21</v>
      </c>
      <c r="K1091" s="12" t="s">
        <v>22</v>
      </c>
      <c r="L1091" s="13">
        <v>35</v>
      </c>
    </row>
    <row r="1092" spans="1:12" s="10" customFormat="1" ht="18" x14ac:dyDescent="0.25">
      <c r="A1092" s="11">
        <v>1088</v>
      </c>
      <c r="B1092" s="12" t="s">
        <v>650</v>
      </c>
      <c r="C1092" s="12" t="str">
        <f t="shared" si="43"/>
        <v>140504</v>
      </c>
      <c r="D1092" s="12" t="str">
        <f>"14.140504/2024.00372/BC.I."</f>
        <v>14.140504/2024.00372/BC.I.</v>
      </c>
      <c r="E1092" s="12" t="str">
        <f>"201080075621"</f>
        <v>201080075621</v>
      </c>
      <c r="F1092" s="12" t="str">
        <f t="shared" si="44"/>
        <v>COMPUTADORA/MICROCOMPUTADORA</v>
      </c>
      <c r="G1092" s="12" t="s">
        <v>19</v>
      </c>
      <c r="H1092" s="12" t="s">
        <v>20</v>
      </c>
      <c r="I1092" s="12">
        <v>1</v>
      </c>
      <c r="J1092" s="12" t="s">
        <v>21</v>
      </c>
      <c r="K1092" s="12" t="s">
        <v>22</v>
      </c>
      <c r="L1092" s="13">
        <v>35</v>
      </c>
    </row>
    <row r="1093" spans="1:12" s="10" customFormat="1" ht="18" x14ac:dyDescent="0.25">
      <c r="A1093" s="11">
        <v>1089</v>
      </c>
      <c r="B1093" s="12" t="s">
        <v>650</v>
      </c>
      <c r="C1093" s="12" t="str">
        <f t="shared" si="43"/>
        <v>140504</v>
      </c>
      <c r="D1093" s="12" t="str">
        <f>"14.140504/2024.00371/BC.I."</f>
        <v>14.140504/2024.00371/BC.I.</v>
      </c>
      <c r="E1093" s="12" t="str">
        <f>"201080075657"</f>
        <v>201080075657</v>
      </c>
      <c r="F1093" s="12" t="str">
        <f t="shared" si="44"/>
        <v>COMPUTADORA/MICROCOMPUTADORA</v>
      </c>
      <c r="G1093" s="12" t="s">
        <v>19</v>
      </c>
      <c r="H1093" s="12" t="s">
        <v>20</v>
      </c>
      <c r="I1093" s="12">
        <v>1</v>
      </c>
      <c r="J1093" s="12" t="s">
        <v>21</v>
      </c>
      <c r="K1093" s="12" t="s">
        <v>22</v>
      </c>
      <c r="L1093" s="13">
        <v>35</v>
      </c>
    </row>
    <row r="1094" spans="1:12" s="10" customFormat="1" ht="18" x14ac:dyDescent="0.25">
      <c r="A1094" s="11">
        <v>1090</v>
      </c>
      <c r="B1094" s="12" t="s">
        <v>650</v>
      </c>
      <c r="C1094" s="12" t="str">
        <f t="shared" si="43"/>
        <v>140504</v>
      </c>
      <c r="D1094" s="12" t="str">
        <f>"14.140504/2024.00377/BC.O."</f>
        <v>14.140504/2024.00377/BC.O.</v>
      </c>
      <c r="E1094" s="12" t="str">
        <f>"200600084249"</f>
        <v>200600084249</v>
      </c>
      <c r="F1094" s="12" t="str">
        <f>"CARRO/PARA CHAROLAS"</f>
        <v>CARRO/PARA CHAROLAS</v>
      </c>
      <c r="G1094" s="12" t="s">
        <v>19</v>
      </c>
      <c r="H1094" s="12" t="s">
        <v>20</v>
      </c>
      <c r="I1094" s="12">
        <v>1</v>
      </c>
      <c r="J1094" s="12" t="s">
        <v>21</v>
      </c>
      <c r="K1094" s="12" t="s">
        <v>22</v>
      </c>
      <c r="L1094" s="13">
        <v>30</v>
      </c>
    </row>
    <row r="1095" spans="1:12" s="10" customFormat="1" ht="18" x14ac:dyDescent="0.25">
      <c r="A1095" s="11">
        <v>1091</v>
      </c>
      <c r="B1095" s="12" t="s">
        <v>650</v>
      </c>
      <c r="C1095" s="12" t="str">
        <f t="shared" si="43"/>
        <v>140504</v>
      </c>
      <c r="D1095" s="12" t="str">
        <f>"14.140504/2024.00378/BC.O."</f>
        <v>14.140504/2024.00378/BC.O.</v>
      </c>
      <c r="E1095" s="12" t="str">
        <f>"200600084251"</f>
        <v>200600084251</v>
      </c>
      <c r="F1095" s="12" t="str">
        <f>"CARRO/PARA CHAROLAS"</f>
        <v>CARRO/PARA CHAROLAS</v>
      </c>
      <c r="G1095" s="12" t="s">
        <v>19</v>
      </c>
      <c r="H1095" s="12" t="s">
        <v>20</v>
      </c>
      <c r="I1095" s="12">
        <v>1</v>
      </c>
      <c r="J1095" s="12" t="s">
        <v>21</v>
      </c>
      <c r="K1095" s="12" t="s">
        <v>22</v>
      </c>
      <c r="L1095" s="13">
        <v>30</v>
      </c>
    </row>
    <row r="1096" spans="1:12" s="30" customFormat="1" ht="18" x14ac:dyDescent="0.25">
      <c r="A1096" s="11">
        <v>1092</v>
      </c>
      <c r="B1096" s="12" t="s">
        <v>650</v>
      </c>
      <c r="C1096" s="12" t="str">
        <f t="shared" si="43"/>
        <v>140504</v>
      </c>
      <c r="D1096" s="12" t="str">
        <f>"14.140504/2024.00382/BC.O."</f>
        <v>14.140504/2024.00382/BC.O.</v>
      </c>
      <c r="E1096" s="12" t="str">
        <f>"201180005214"</f>
        <v>201180005214</v>
      </c>
      <c r="F1096" s="12" t="str">
        <f>"LAVADORA/PARA INSTRUMENTAL QUIRURGICO"</f>
        <v>LAVADORA/PARA INSTRUMENTAL QUIRURGICO</v>
      </c>
      <c r="G1096" s="12" t="s">
        <v>19</v>
      </c>
      <c r="H1096" s="12" t="s">
        <v>20</v>
      </c>
      <c r="I1096" s="12">
        <v>1</v>
      </c>
      <c r="J1096" s="12" t="s">
        <v>21</v>
      </c>
      <c r="K1096" s="12" t="s">
        <v>22</v>
      </c>
      <c r="L1096" s="13">
        <v>35</v>
      </c>
    </row>
    <row r="1097" spans="1:12" ht="18" x14ac:dyDescent="0.25">
      <c r="A1097" s="11">
        <v>1093</v>
      </c>
      <c r="B1097" s="12" t="s">
        <v>650</v>
      </c>
      <c r="C1097" s="12" t="str">
        <f t="shared" si="43"/>
        <v>140504</v>
      </c>
      <c r="D1097" s="12" t="str">
        <f>"14.140504/2024.00383/BC.O."</f>
        <v>14.140504/2024.00383/BC.O.</v>
      </c>
      <c r="E1097" s="12" t="str">
        <f>"201180005215"</f>
        <v>201180005215</v>
      </c>
      <c r="F1097" s="12" t="str">
        <f>"LAVADORA/PARA INSTRUMENTAL QUIRURGICO"</f>
        <v>LAVADORA/PARA INSTRUMENTAL QUIRURGICO</v>
      </c>
      <c r="G1097" s="12" t="s">
        <v>19</v>
      </c>
      <c r="H1097" s="12" t="s">
        <v>20</v>
      </c>
      <c r="I1097" s="12">
        <v>1</v>
      </c>
      <c r="J1097" s="12" t="s">
        <v>21</v>
      </c>
      <c r="K1097" s="12" t="s">
        <v>22</v>
      </c>
      <c r="L1097" s="13">
        <v>35</v>
      </c>
    </row>
    <row r="1098" spans="1:12" ht="18" x14ac:dyDescent="0.25">
      <c r="A1098" s="11">
        <v>1094</v>
      </c>
      <c r="B1098" s="12" t="s">
        <v>650</v>
      </c>
      <c r="C1098" s="12" t="str">
        <f t="shared" si="43"/>
        <v>140504</v>
      </c>
      <c r="D1098" s="12" t="str">
        <f>"14.140504/2024.00380/BC.O."</f>
        <v>14.140504/2024.00380/BC.O.</v>
      </c>
      <c r="E1098" s="12" t="str">
        <f>"201180005216"</f>
        <v>201180005216</v>
      </c>
      <c r="F1098" s="12" t="str">
        <f>"LAVADORA/PARA INSTRUMENTAL QUIRURGICO"</f>
        <v>LAVADORA/PARA INSTRUMENTAL QUIRURGICO</v>
      </c>
      <c r="G1098" s="12" t="s">
        <v>19</v>
      </c>
      <c r="H1098" s="12" t="s">
        <v>20</v>
      </c>
      <c r="I1098" s="12">
        <v>1</v>
      </c>
      <c r="J1098" s="12" t="s">
        <v>21</v>
      </c>
      <c r="K1098" s="12" t="s">
        <v>22</v>
      </c>
      <c r="L1098" s="13">
        <v>35</v>
      </c>
    </row>
    <row r="1099" spans="1:12" ht="18" x14ac:dyDescent="0.25">
      <c r="A1099" s="11">
        <v>1095</v>
      </c>
      <c r="B1099" s="12" t="s">
        <v>650</v>
      </c>
      <c r="C1099" s="12" t="str">
        <f t="shared" si="43"/>
        <v>140504</v>
      </c>
      <c r="D1099" s="12" t="str">
        <f>"14.140504/2024.00379/BC.O."</f>
        <v>14.140504/2024.00379/BC.O.</v>
      </c>
      <c r="E1099" s="12" t="str">
        <f>"201180005217"</f>
        <v>201180005217</v>
      </c>
      <c r="F1099" s="12" t="str">
        <f>"LAVADORA/PARA INSTRUMENTAL QUIRURGICO"</f>
        <v>LAVADORA/PARA INSTRUMENTAL QUIRURGICO</v>
      </c>
      <c r="G1099" s="12" t="s">
        <v>19</v>
      </c>
      <c r="H1099" s="12" t="s">
        <v>20</v>
      </c>
      <c r="I1099" s="12">
        <v>1</v>
      </c>
      <c r="J1099" s="12" t="s">
        <v>21</v>
      </c>
      <c r="K1099" s="12" t="s">
        <v>22</v>
      </c>
      <c r="L1099" s="13">
        <v>35</v>
      </c>
    </row>
    <row r="1100" spans="1:12" ht="18" x14ac:dyDescent="0.25">
      <c r="A1100" s="11">
        <v>1096</v>
      </c>
      <c r="B1100" s="12" t="s">
        <v>650</v>
      </c>
      <c r="C1100" s="12" t="str">
        <f t="shared" si="43"/>
        <v>140504</v>
      </c>
      <c r="D1100" s="12" t="str">
        <f>"14.140504/2024.00381/BC.O."</f>
        <v>14.140504/2024.00381/BC.O.</v>
      </c>
      <c r="E1100" s="12" t="str">
        <f>"201180005218"</f>
        <v>201180005218</v>
      </c>
      <c r="F1100" s="12" t="str">
        <f>"LAVADORA/PARA INSTRUMENTAL QUIRURGICO"</f>
        <v>LAVADORA/PARA INSTRUMENTAL QUIRURGICO</v>
      </c>
      <c r="G1100" s="12" t="s">
        <v>19</v>
      </c>
      <c r="H1100" s="12" t="s">
        <v>20</v>
      </c>
      <c r="I1100" s="12">
        <v>1</v>
      </c>
      <c r="J1100" s="12" t="s">
        <v>21</v>
      </c>
      <c r="K1100" s="12" t="s">
        <v>22</v>
      </c>
      <c r="L1100" s="13">
        <v>35</v>
      </c>
    </row>
    <row r="1101" spans="1:12" ht="18" x14ac:dyDescent="0.25">
      <c r="A1101" s="11">
        <v>1097</v>
      </c>
      <c r="B1101" s="12" t="s">
        <v>650</v>
      </c>
      <c r="C1101" s="12" t="str">
        <f t="shared" si="43"/>
        <v>140504</v>
      </c>
      <c r="D1101" s="12" t="str">
        <f>"14.140504/2024.00375/BC.O."</f>
        <v>14.140504/2024.00375/BC.O.</v>
      </c>
      <c r="E1101" s="12" t="str">
        <f>"201180006573"</f>
        <v>201180006573</v>
      </c>
      <c r="F1101" s="12" t="str">
        <f>"CARRO/THERMO"</f>
        <v>CARRO/THERMO</v>
      </c>
      <c r="G1101" s="12" t="s">
        <v>19</v>
      </c>
      <c r="H1101" s="12" t="s">
        <v>20</v>
      </c>
      <c r="I1101" s="12">
        <v>1</v>
      </c>
      <c r="J1101" s="12" t="s">
        <v>21</v>
      </c>
      <c r="K1101" s="12" t="s">
        <v>22</v>
      </c>
      <c r="L1101" s="13">
        <v>30</v>
      </c>
    </row>
    <row r="1102" spans="1:12" ht="18" x14ac:dyDescent="0.25">
      <c r="A1102" s="11">
        <v>1098</v>
      </c>
      <c r="B1102" s="12" t="s">
        <v>650</v>
      </c>
      <c r="C1102" s="12" t="str">
        <f t="shared" si="43"/>
        <v>140504</v>
      </c>
      <c r="D1102" s="12" t="str">
        <f>"14.140504/2024.00376/BC.O."</f>
        <v>14.140504/2024.00376/BC.O.</v>
      </c>
      <c r="E1102" s="12" t="str">
        <f>"201180006577"</f>
        <v>201180006577</v>
      </c>
      <c r="F1102" s="12" t="str">
        <f>"CARRO/THERMO"</f>
        <v>CARRO/THERMO</v>
      </c>
      <c r="G1102" s="12" t="s">
        <v>19</v>
      </c>
      <c r="H1102" s="12" t="s">
        <v>20</v>
      </c>
      <c r="I1102" s="12">
        <v>1</v>
      </c>
      <c r="J1102" s="12" t="s">
        <v>21</v>
      </c>
      <c r="K1102" s="12" t="s">
        <v>22</v>
      </c>
      <c r="L1102" s="13">
        <v>30</v>
      </c>
    </row>
    <row r="1103" spans="1:12" ht="18" x14ac:dyDescent="0.25">
      <c r="A1103" s="11">
        <v>1099</v>
      </c>
      <c r="B1103" s="12" t="s">
        <v>650</v>
      </c>
      <c r="C1103" s="12" t="str">
        <f t="shared" si="43"/>
        <v>140504</v>
      </c>
      <c r="D1103" s="12" t="str">
        <f>"14.140504/2024.00384/BC.O."</f>
        <v>14.140504/2024.00384/BC.O.</v>
      </c>
      <c r="E1103" s="12" t="str">
        <f>"201380000059"</f>
        <v>201380000059</v>
      </c>
      <c r="F1103" s="12" t="str">
        <f>"ESPECTROFOTOMETRO/ELECTRICO"</f>
        <v>ESPECTROFOTOMETRO/ELECTRICO</v>
      </c>
      <c r="G1103" s="12" t="s">
        <v>19</v>
      </c>
      <c r="H1103" s="12" t="s">
        <v>20</v>
      </c>
      <c r="I1103" s="12">
        <v>1</v>
      </c>
      <c r="J1103" s="12" t="s">
        <v>21</v>
      </c>
      <c r="K1103" s="12" t="s">
        <v>22</v>
      </c>
      <c r="L1103" s="13">
        <v>250</v>
      </c>
    </row>
    <row r="1104" spans="1:12" ht="18" x14ac:dyDescent="0.25">
      <c r="A1104" s="11">
        <v>1100</v>
      </c>
      <c r="B1104" s="12" t="s">
        <v>650</v>
      </c>
      <c r="C1104" s="12" t="str">
        <f t="shared" si="43"/>
        <v>140504</v>
      </c>
      <c r="D1104" s="12" t="str">
        <f>"14.140504/2024.00385/BC.O."</f>
        <v>14.140504/2024.00385/BC.O.</v>
      </c>
      <c r="E1104" s="12" t="str">
        <f>"201380000060"</f>
        <v>201380000060</v>
      </c>
      <c r="F1104" s="12" t="str">
        <f>"ESPECTROFOTOMETRO/ELECTRICO"</f>
        <v>ESPECTROFOTOMETRO/ELECTRICO</v>
      </c>
      <c r="G1104" s="12" t="s">
        <v>19</v>
      </c>
      <c r="H1104" s="12" t="s">
        <v>20</v>
      </c>
      <c r="I1104" s="12">
        <v>1</v>
      </c>
      <c r="J1104" s="12" t="s">
        <v>21</v>
      </c>
      <c r="K1104" s="12" t="s">
        <v>22</v>
      </c>
      <c r="L1104" s="13">
        <v>250</v>
      </c>
    </row>
    <row r="1105" spans="1:12" ht="18" x14ac:dyDescent="0.25">
      <c r="A1105" s="11">
        <v>1101</v>
      </c>
      <c r="B1105" s="12" t="s">
        <v>650</v>
      </c>
      <c r="C1105" s="12" t="str">
        <f t="shared" si="43"/>
        <v>140504</v>
      </c>
      <c r="D1105" s="12" t="str">
        <f>"14.140504/2024.00386/BC.O."</f>
        <v>14.140504/2024.00386/BC.O.</v>
      </c>
      <c r="E1105" s="12" t="str">
        <f>"201380000061"</f>
        <v>201380000061</v>
      </c>
      <c r="F1105" s="12" t="str">
        <f>"ESPECTROFOTOMETRO/ELECTRICO"</f>
        <v>ESPECTROFOTOMETRO/ELECTRICO</v>
      </c>
      <c r="G1105" s="12" t="s">
        <v>19</v>
      </c>
      <c r="H1105" s="12" t="s">
        <v>20</v>
      </c>
      <c r="I1105" s="12">
        <v>1</v>
      </c>
      <c r="J1105" s="12" t="s">
        <v>21</v>
      </c>
      <c r="K1105" s="12" t="s">
        <v>22</v>
      </c>
      <c r="L1105" s="13">
        <v>250</v>
      </c>
    </row>
    <row r="1106" spans="1:12" ht="18" x14ac:dyDescent="0.25">
      <c r="A1106" s="11">
        <v>1102</v>
      </c>
      <c r="B1106" s="12" t="s">
        <v>650</v>
      </c>
      <c r="C1106" s="12" t="str">
        <f t="shared" si="43"/>
        <v>140504</v>
      </c>
      <c r="D1106" s="12" t="str">
        <f>"14.140504/2024.00387/BC.O."</f>
        <v>14.140504/2024.00387/BC.O.</v>
      </c>
      <c r="E1106" s="12" t="str">
        <f>"201380000063"</f>
        <v>201380000063</v>
      </c>
      <c r="F1106" s="12" t="str">
        <f>"ESPECTROFOTOMETRO/ELECTRICO"</f>
        <v>ESPECTROFOTOMETRO/ELECTRICO</v>
      </c>
      <c r="G1106" s="12" t="s">
        <v>19</v>
      </c>
      <c r="H1106" s="12" t="s">
        <v>20</v>
      </c>
      <c r="I1106" s="12">
        <v>1</v>
      </c>
      <c r="J1106" s="12" t="s">
        <v>21</v>
      </c>
      <c r="K1106" s="12" t="s">
        <v>22</v>
      </c>
      <c r="L1106" s="13">
        <v>250</v>
      </c>
    </row>
    <row r="1107" spans="1:12" ht="27" x14ac:dyDescent="0.25">
      <c r="A1107" s="11">
        <v>1103</v>
      </c>
      <c r="B1107" s="12" t="s">
        <v>651</v>
      </c>
      <c r="C1107" s="12" t="str">
        <f>"142401"</f>
        <v>142401</v>
      </c>
      <c r="D1107" s="12" t="str">
        <f>"14.142401/2024.00073/BC.O."</f>
        <v>14.142401/2024.00073/BC.O.</v>
      </c>
      <c r="E1107" s="12" t="str">
        <f>"0031375233"</f>
        <v>0031375233</v>
      </c>
      <c r="F1107" s="12" t="str">
        <f>"X-OMAT (APARATO)/AUTOMATICO PARA REVELAR RADIOGRAF"</f>
        <v>X-OMAT (APARATO)/AUTOMATICO PARA REVELAR RADIOGRAF</v>
      </c>
      <c r="G1107" s="12" t="s">
        <v>19</v>
      </c>
      <c r="H1107" s="12" t="s">
        <v>20</v>
      </c>
      <c r="I1107" s="12">
        <v>1</v>
      </c>
      <c r="J1107" s="12" t="s">
        <v>21</v>
      </c>
      <c r="K1107" s="12" t="s">
        <v>22</v>
      </c>
      <c r="L1107" s="13">
        <v>1000</v>
      </c>
    </row>
    <row r="1108" spans="1:12" ht="18" x14ac:dyDescent="0.25">
      <c r="A1108" s="11">
        <v>1104</v>
      </c>
      <c r="B1108" s="12" t="s">
        <v>651</v>
      </c>
      <c r="C1108" s="12" t="str">
        <f>"142401"</f>
        <v>142401</v>
      </c>
      <c r="D1108" s="12" t="str">
        <f>"14.142401/2024.00070/BC.O."</f>
        <v>14.142401/2024.00070/BC.O.</v>
      </c>
      <c r="E1108" s="12" t="str">
        <f>"1986035720"</f>
        <v>1986035720</v>
      </c>
      <c r="F1108" s="12" t="str">
        <f>"CONTADOR/PARA LABORATORIO"</f>
        <v>CONTADOR/PARA LABORATORIO</v>
      </c>
      <c r="G1108" s="12" t="s">
        <v>19</v>
      </c>
      <c r="H1108" s="12" t="s">
        <v>20</v>
      </c>
      <c r="I1108" s="12">
        <v>1</v>
      </c>
      <c r="J1108" s="12" t="s">
        <v>21</v>
      </c>
      <c r="K1108" s="12" t="s">
        <v>22</v>
      </c>
      <c r="L1108" s="13">
        <v>50</v>
      </c>
    </row>
    <row r="1109" spans="1:12" ht="18" x14ac:dyDescent="0.25">
      <c r="A1109" s="11">
        <v>1105</v>
      </c>
      <c r="B1109" s="12" t="s">
        <v>651</v>
      </c>
      <c r="C1109" s="12" t="str">
        <f>"142401"</f>
        <v>142401</v>
      </c>
      <c r="D1109" s="12" t="str">
        <f>"14.142401/2024.00074/BC.O."</f>
        <v>14.142401/2024.00074/BC.O.</v>
      </c>
      <c r="E1109" s="12" t="str">
        <f>"1999030404"</f>
        <v>1999030404</v>
      </c>
      <c r="F1109" s="12" t="str">
        <f>"MAQUINA DE ESCRIBIR/MANUAL"</f>
        <v>MAQUINA DE ESCRIBIR/MANUAL</v>
      </c>
      <c r="G1109" s="12" t="s">
        <v>19</v>
      </c>
      <c r="H1109" s="12" t="s">
        <v>20</v>
      </c>
      <c r="I1109" s="12">
        <v>1</v>
      </c>
      <c r="J1109" s="12" t="s">
        <v>21</v>
      </c>
      <c r="K1109" s="12" t="s">
        <v>22</v>
      </c>
      <c r="L1109" s="13">
        <v>25</v>
      </c>
    </row>
    <row r="1110" spans="1:12" ht="18" x14ac:dyDescent="0.25">
      <c r="A1110" s="11">
        <v>1106</v>
      </c>
      <c r="B1110" s="12" t="s">
        <v>651</v>
      </c>
      <c r="C1110" s="12" t="str">
        <f>"142401"</f>
        <v>142401</v>
      </c>
      <c r="D1110" s="12" t="str">
        <f>"14.142401/2024.00071/BC.O."</f>
        <v>14.142401/2024.00071/BC.O.</v>
      </c>
      <c r="E1110" s="12" t="str">
        <f>"200400019346"</f>
        <v>200400019346</v>
      </c>
      <c r="F1110" s="12" t="str">
        <f>"CENTRIFUGA/DE MESA"</f>
        <v>CENTRIFUGA/DE MESA</v>
      </c>
      <c r="G1110" s="12" t="s">
        <v>19</v>
      </c>
      <c r="H1110" s="12" t="s">
        <v>20</v>
      </c>
      <c r="I1110" s="12">
        <v>1</v>
      </c>
      <c r="J1110" s="12" t="s">
        <v>21</v>
      </c>
      <c r="K1110" s="12" t="s">
        <v>22</v>
      </c>
      <c r="L1110" s="13">
        <v>50</v>
      </c>
    </row>
    <row r="1111" spans="1:12" ht="18" x14ac:dyDescent="0.25">
      <c r="A1111" s="11">
        <v>1107</v>
      </c>
      <c r="B1111" s="12" t="s">
        <v>651</v>
      </c>
      <c r="C1111" s="12" t="str">
        <f>"142401"</f>
        <v>142401</v>
      </c>
      <c r="D1111" s="12" t="str">
        <f>"14.142401/2024.00072/BC.O."</f>
        <v>14.142401/2024.00072/BC.O.</v>
      </c>
      <c r="E1111" s="12" t="str">
        <f>"200400048271"</f>
        <v>200400048271</v>
      </c>
      <c r="F1111" s="12" t="str">
        <f>"ENFRIADOR/Y CALENTADOR PARA AGUA ELECTRICO"</f>
        <v>ENFRIADOR/Y CALENTADOR PARA AGUA ELECTRICO</v>
      </c>
      <c r="G1111" s="12" t="s">
        <v>19</v>
      </c>
      <c r="H1111" s="12" t="s">
        <v>20</v>
      </c>
      <c r="I1111" s="12">
        <v>1</v>
      </c>
      <c r="J1111" s="12" t="s">
        <v>21</v>
      </c>
      <c r="K1111" s="12" t="s">
        <v>22</v>
      </c>
      <c r="L1111" s="13">
        <v>35</v>
      </c>
    </row>
    <row r="1112" spans="1:12" ht="18" x14ac:dyDescent="0.25">
      <c r="A1112" s="11">
        <v>1108</v>
      </c>
      <c r="B1112" s="12" t="s">
        <v>652</v>
      </c>
      <c r="C1112" s="12" t="str">
        <f t="shared" ref="C1112:C1138" si="45">"142402"</f>
        <v>142402</v>
      </c>
      <c r="D1112" s="12" t="str">
        <f>"14.142402/2024.00261/BC.O."</f>
        <v>14.142402/2024.00261/BC.O.</v>
      </c>
      <c r="E1112" s="12" t="str">
        <f>"200400029503"</f>
        <v>200400029503</v>
      </c>
      <c r="F1112" s="12" t="str">
        <f>"MESA/PARA EXPLORACION UNIVERSAL"</f>
        <v>MESA/PARA EXPLORACION UNIVERSAL</v>
      </c>
      <c r="G1112" s="12" t="s">
        <v>19</v>
      </c>
      <c r="H1112" s="12" t="s">
        <v>20</v>
      </c>
      <c r="I1112" s="12">
        <v>1</v>
      </c>
      <c r="J1112" s="12" t="s">
        <v>21</v>
      </c>
      <c r="K1112" s="12" t="s">
        <v>22</v>
      </c>
      <c r="L1112" s="13">
        <v>150</v>
      </c>
    </row>
    <row r="1113" spans="1:12" ht="18" x14ac:dyDescent="0.25">
      <c r="A1113" s="11">
        <v>1109</v>
      </c>
      <c r="B1113" s="12" t="s">
        <v>652</v>
      </c>
      <c r="C1113" s="12" t="str">
        <f t="shared" si="45"/>
        <v>142402</v>
      </c>
      <c r="D1113" s="12" t="str">
        <f>"14.142402/2024.00236/BC.I."</f>
        <v>14.142402/2024.00236/BC.I.</v>
      </c>
      <c r="E1113" s="12" t="str">
        <f>"201080026262"</f>
        <v>201080026262</v>
      </c>
      <c r="F1113" s="12" t="str">
        <f t="shared" ref="F1113:F1125" si="46">"COMPUTADORA/MICROCOMPUTADORA"</f>
        <v>COMPUTADORA/MICROCOMPUTADORA</v>
      </c>
      <c r="G1113" s="12" t="s">
        <v>19</v>
      </c>
      <c r="H1113" s="12" t="s">
        <v>20</v>
      </c>
      <c r="I1113" s="12">
        <v>1</v>
      </c>
      <c r="J1113" s="12" t="s">
        <v>21</v>
      </c>
      <c r="K1113" s="12" t="s">
        <v>22</v>
      </c>
      <c r="L1113" s="13">
        <v>35</v>
      </c>
    </row>
    <row r="1114" spans="1:12" ht="18" x14ac:dyDescent="0.25">
      <c r="A1114" s="11">
        <v>1110</v>
      </c>
      <c r="B1114" s="12" t="s">
        <v>652</v>
      </c>
      <c r="C1114" s="12" t="str">
        <f t="shared" si="45"/>
        <v>142402</v>
      </c>
      <c r="D1114" s="12" t="str">
        <f>"14.142402/2024.00256/BC.I."</f>
        <v>14.142402/2024.00256/BC.I.</v>
      </c>
      <c r="E1114" s="12" t="str">
        <f>"201080053641"</f>
        <v>201080053641</v>
      </c>
      <c r="F1114" s="12" t="str">
        <f t="shared" si="46"/>
        <v>COMPUTADORA/MICROCOMPUTADORA</v>
      </c>
      <c r="G1114" s="12" t="s">
        <v>19</v>
      </c>
      <c r="H1114" s="12" t="s">
        <v>20</v>
      </c>
      <c r="I1114" s="12">
        <v>1</v>
      </c>
      <c r="J1114" s="12" t="s">
        <v>21</v>
      </c>
      <c r="K1114" s="12" t="s">
        <v>22</v>
      </c>
      <c r="L1114" s="13">
        <v>35</v>
      </c>
    </row>
    <row r="1115" spans="1:12" ht="18" x14ac:dyDescent="0.25">
      <c r="A1115" s="11">
        <v>1111</v>
      </c>
      <c r="B1115" s="12" t="s">
        <v>652</v>
      </c>
      <c r="C1115" s="12" t="str">
        <f t="shared" si="45"/>
        <v>142402</v>
      </c>
      <c r="D1115" s="12" t="str">
        <f>"14.142402/2024.00257/BC.I."</f>
        <v>14.142402/2024.00257/BC.I.</v>
      </c>
      <c r="E1115" s="12" t="str">
        <f>"201080059384"</f>
        <v>201080059384</v>
      </c>
      <c r="F1115" s="12" t="str">
        <f t="shared" si="46"/>
        <v>COMPUTADORA/MICROCOMPUTADORA</v>
      </c>
      <c r="G1115" s="12" t="s">
        <v>19</v>
      </c>
      <c r="H1115" s="12" t="s">
        <v>20</v>
      </c>
      <c r="I1115" s="12">
        <v>1</v>
      </c>
      <c r="J1115" s="12" t="s">
        <v>21</v>
      </c>
      <c r="K1115" s="12" t="s">
        <v>22</v>
      </c>
      <c r="L1115" s="13">
        <v>35</v>
      </c>
    </row>
    <row r="1116" spans="1:12" ht="18" x14ac:dyDescent="0.25">
      <c r="A1116" s="11">
        <v>1112</v>
      </c>
      <c r="B1116" s="12" t="s">
        <v>652</v>
      </c>
      <c r="C1116" s="12" t="str">
        <f t="shared" si="45"/>
        <v>142402</v>
      </c>
      <c r="D1116" s="12" t="str">
        <f>"14.142402/2024.00237/BC.I."</f>
        <v>14.142402/2024.00237/BC.I.</v>
      </c>
      <c r="E1116" s="12" t="str">
        <f>"201080059544"</f>
        <v>201080059544</v>
      </c>
      <c r="F1116" s="12" t="str">
        <f t="shared" si="46"/>
        <v>COMPUTADORA/MICROCOMPUTADORA</v>
      </c>
      <c r="G1116" s="12" t="s">
        <v>19</v>
      </c>
      <c r="H1116" s="12" t="s">
        <v>20</v>
      </c>
      <c r="I1116" s="12">
        <v>1</v>
      </c>
      <c r="J1116" s="12" t="s">
        <v>21</v>
      </c>
      <c r="K1116" s="12" t="s">
        <v>22</v>
      </c>
      <c r="L1116" s="13">
        <v>35</v>
      </c>
    </row>
    <row r="1117" spans="1:12" ht="18" x14ac:dyDescent="0.25">
      <c r="A1117" s="11">
        <v>1113</v>
      </c>
      <c r="B1117" s="12" t="s">
        <v>652</v>
      </c>
      <c r="C1117" s="12" t="str">
        <f t="shared" si="45"/>
        <v>142402</v>
      </c>
      <c r="D1117" s="12" t="str">
        <f>"14.142402/2024.00235/BC.I."</f>
        <v>14.142402/2024.00235/BC.I.</v>
      </c>
      <c r="E1117" s="12" t="str">
        <f>"201080060141"</f>
        <v>201080060141</v>
      </c>
      <c r="F1117" s="12" t="str">
        <f t="shared" si="46"/>
        <v>COMPUTADORA/MICROCOMPUTADORA</v>
      </c>
      <c r="G1117" s="12" t="s">
        <v>19</v>
      </c>
      <c r="H1117" s="12" t="s">
        <v>20</v>
      </c>
      <c r="I1117" s="12">
        <v>1</v>
      </c>
      <c r="J1117" s="12" t="s">
        <v>21</v>
      </c>
      <c r="K1117" s="12" t="s">
        <v>22</v>
      </c>
      <c r="L1117" s="13">
        <v>35</v>
      </c>
    </row>
    <row r="1118" spans="1:12" ht="18" x14ac:dyDescent="0.25">
      <c r="A1118" s="11">
        <v>1114</v>
      </c>
      <c r="B1118" s="12" t="s">
        <v>652</v>
      </c>
      <c r="C1118" s="12" t="str">
        <f t="shared" si="45"/>
        <v>142402</v>
      </c>
      <c r="D1118" s="12" t="str">
        <f>"14.142402/2024.00238/BC.I."</f>
        <v>14.142402/2024.00238/BC.I.</v>
      </c>
      <c r="E1118" s="12" t="str">
        <f>"201080060158"</f>
        <v>201080060158</v>
      </c>
      <c r="F1118" s="12" t="str">
        <f t="shared" si="46"/>
        <v>COMPUTADORA/MICROCOMPUTADORA</v>
      </c>
      <c r="G1118" s="12" t="s">
        <v>19</v>
      </c>
      <c r="H1118" s="12" t="s">
        <v>20</v>
      </c>
      <c r="I1118" s="12">
        <v>1</v>
      </c>
      <c r="J1118" s="12" t="s">
        <v>21</v>
      </c>
      <c r="K1118" s="12" t="s">
        <v>22</v>
      </c>
      <c r="L1118" s="13">
        <v>35</v>
      </c>
    </row>
    <row r="1119" spans="1:12" ht="18" x14ac:dyDescent="0.25">
      <c r="A1119" s="11">
        <v>1115</v>
      </c>
      <c r="B1119" s="12" t="s">
        <v>652</v>
      </c>
      <c r="C1119" s="12" t="str">
        <f t="shared" si="45"/>
        <v>142402</v>
      </c>
      <c r="D1119" s="12" t="str">
        <f>"14.142402/2024.00258/BC.I."</f>
        <v>14.142402/2024.00258/BC.I.</v>
      </c>
      <c r="E1119" s="12" t="str">
        <f>"201080060159"</f>
        <v>201080060159</v>
      </c>
      <c r="F1119" s="12" t="str">
        <f t="shared" si="46"/>
        <v>COMPUTADORA/MICROCOMPUTADORA</v>
      </c>
      <c r="G1119" s="12" t="s">
        <v>19</v>
      </c>
      <c r="H1119" s="12" t="s">
        <v>20</v>
      </c>
      <c r="I1119" s="12">
        <v>1</v>
      </c>
      <c r="J1119" s="12" t="s">
        <v>21</v>
      </c>
      <c r="K1119" s="12" t="s">
        <v>22</v>
      </c>
      <c r="L1119" s="13">
        <v>35</v>
      </c>
    </row>
    <row r="1120" spans="1:12" ht="18" x14ac:dyDescent="0.25">
      <c r="A1120" s="11">
        <v>1116</v>
      </c>
      <c r="B1120" s="12" t="s">
        <v>652</v>
      </c>
      <c r="C1120" s="12" t="str">
        <f t="shared" si="45"/>
        <v>142402</v>
      </c>
      <c r="D1120" s="12" t="str">
        <f>"14.142402/2024.00259/BC.I."</f>
        <v>14.142402/2024.00259/BC.I.</v>
      </c>
      <c r="E1120" s="12" t="str">
        <f>"201080060161"</f>
        <v>201080060161</v>
      </c>
      <c r="F1120" s="12" t="str">
        <f t="shared" si="46"/>
        <v>COMPUTADORA/MICROCOMPUTADORA</v>
      </c>
      <c r="G1120" s="12" t="s">
        <v>19</v>
      </c>
      <c r="H1120" s="12" t="s">
        <v>20</v>
      </c>
      <c r="I1120" s="12">
        <v>1</v>
      </c>
      <c r="J1120" s="12" t="s">
        <v>21</v>
      </c>
      <c r="K1120" s="12" t="s">
        <v>22</v>
      </c>
      <c r="L1120" s="13">
        <v>35</v>
      </c>
    </row>
    <row r="1121" spans="1:12" ht="18" x14ac:dyDescent="0.25">
      <c r="A1121" s="11">
        <v>1117</v>
      </c>
      <c r="B1121" s="12" t="s">
        <v>652</v>
      </c>
      <c r="C1121" s="12" t="str">
        <f t="shared" si="45"/>
        <v>142402</v>
      </c>
      <c r="D1121" s="12" t="str">
        <f>"14.142402/2024.00239/BC.I."</f>
        <v>14.142402/2024.00239/BC.I.</v>
      </c>
      <c r="E1121" s="12" t="str">
        <f>"201080060177"</f>
        <v>201080060177</v>
      </c>
      <c r="F1121" s="12" t="str">
        <f t="shared" si="46"/>
        <v>COMPUTADORA/MICROCOMPUTADORA</v>
      </c>
      <c r="G1121" s="12" t="s">
        <v>19</v>
      </c>
      <c r="H1121" s="12" t="s">
        <v>20</v>
      </c>
      <c r="I1121" s="12">
        <v>1</v>
      </c>
      <c r="J1121" s="12" t="s">
        <v>21</v>
      </c>
      <c r="K1121" s="12" t="s">
        <v>22</v>
      </c>
      <c r="L1121" s="13">
        <v>35</v>
      </c>
    </row>
    <row r="1122" spans="1:12" ht="18" x14ac:dyDescent="0.25">
      <c r="A1122" s="11">
        <v>1118</v>
      </c>
      <c r="B1122" s="12" t="s">
        <v>652</v>
      </c>
      <c r="C1122" s="12" t="str">
        <f t="shared" si="45"/>
        <v>142402</v>
      </c>
      <c r="D1122" s="12" t="str">
        <f>"14.142402/2024.00240/BC.I."</f>
        <v>14.142402/2024.00240/BC.I.</v>
      </c>
      <c r="E1122" s="12" t="str">
        <f>"201080060178"</f>
        <v>201080060178</v>
      </c>
      <c r="F1122" s="12" t="str">
        <f t="shared" si="46"/>
        <v>COMPUTADORA/MICROCOMPUTADORA</v>
      </c>
      <c r="G1122" s="12" t="s">
        <v>19</v>
      </c>
      <c r="H1122" s="12" t="s">
        <v>20</v>
      </c>
      <c r="I1122" s="12">
        <v>1</v>
      </c>
      <c r="J1122" s="12" t="s">
        <v>21</v>
      </c>
      <c r="K1122" s="12" t="s">
        <v>22</v>
      </c>
      <c r="L1122" s="13">
        <v>35</v>
      </c>
    </row>
    <row r="1123" spans="1:12" ht="18" x14ac:dyDescent="0.25">
      <c r="A1123" s="11">
        <v>1119</v>
      </c>
      <c r="B1123" s="12" t="s">
        <v>652</v>
      </c>
      <c r="C1123" s="12" t="str">
        <f t="shared" si="45"/>
        <v>142402</v>
      </c>
      <c r="D1123" s="12" t="str">
        <f>"14.142402/2024.00241/BC.I."</f>
        <v>14.142402/2024.00241/BC.I.</v>
      </c>
      <c r="E1123" s="12" t="str">
        <f>"201080060194"</f>
        <v>201080060194</v>
      </c>
      <c r="F1123" s="12" t="str">
        <f t="shared" si="46"/>
        <v>COMPUTADORA/MICROCOMPUTADORA</v>
      </c>
      <c r="G1123" s="12" t="s">
        <v>19</v>
      </c>
      <c r="H1123" s="12" t="s">
        <v>20</v>
      </c>
      <c r="I1123" s="12">
        <v>1</v>
      </c>
      <c r="J1123" s="12" t="s">
        <v>21</v>
      </c>
      <c r="K1123" s="12" t="s">
        <v>22</v>
      </c>
      <c r="L1123" s="13">
        <v>35</v>
      </c>
    </row>
    <row r="1124" spans="1:12" ht="18" x14ac:dyDescent="0.25">
      <c r="A1124" s="11">
        <v>1120</v>
      </c>
      <c r="B1124" s="12" t="s">
        <v>652</v>
      </c>
      <c r="C1124" s="12" t="str">
        <f t="shared" si="45"/>
        <v>142402</v>
      </c>
      <c r="D1124" s="12" t="str">
        <f>"14.142402/2024.00260/BC.I."</f>
        <v>14.142402/2024.00260/BC.I.</v>
      </c>
      <c r="E1124" s="12" t="str">
        <f>"201080060201"</f>
        <v>201080060201</v>
      </c>
      <c r="F1124" s="12" t="str">
        <f t="shared" si="46"/>
        <v>COMPUTADORA/MICROCOMPUTADORA</v>
      </c>
      <c r="G1124" s="12" t="s">
        <v>19</v>
      </c>
      <c r="H1124" s="12" t="s">
        <v>20</v>
      </c>
      <c r="I1124" s="12">
        <v>1</v>
      </c>
      <c r="J1124" s="12" t="s">
        <v>21</v>
      </c>
      <c r="K1124" s="12" t="s">
        <v>22</v>
      </c>
      <c r="L1124" s="13">
        <v>35</v>
      </c>
    </row>
    <row r="1125" spans="1:12" ht="18" x14ac:dyDescent="0.25">
      <c r="A1125" s="11">
        <v>1121</v>
      </c>
      <c r="B1125" s="12" t="s">
        <v>652</v>
      </c>
      <c r="C1125" s="12" t="str">
        <f t="shared" si="45"/>
        <v>142402</v>
      </c>
      <c r="D1125" s="12" t="str">
        <f>"14.142402/2024.00242/BC.I."</f>
        <v>14.142402/2024.00242/BC.I.</v>
      </c>
      <c r="E1125" s="12" t="str">
        <f>"201080060323"</f>
        <v>201080060323</v>
      </c>
      <c r="F1125" s="12" t="str">
        <f t="shared" si="46"/>
        <v>COMPUTADORA/MICROCOMPUTADORA</v>
      </c>
      <c r="G1125" s="12" t="s">
        <v>19</v>
      </c>
      <c r="H1125" s="12" t="s">
        <v>20</v>
      </c>
      <c r="I1125" s="12">
        <v>1</v>
      </c>
      <c r="J1125" s="12" t="s">
        <v>21</v>
      </c>
      <c r="K1125" s="12" t="s">
        <v>22</v>
      </c>
      <c r="L1125" s="13">
        <v>35</v>
      </c>
    </row>
    <row r="1126" spans="1:12" ht="18" x14ac:dyDescent="0.25">
      <c r="A1126" s="11">
        <v>1122</v>
      </c>
      <c r="B1126" s="12" t="s">
        <v>652</v>
      </c>
      <c r="C1126" s="12" t="str">
        <f t="shared" si="45"/>
        <v>142402</v>
      </c>
      <c r="D1126" s="12" t="str">
        <f>"14.142402/2024.00243/BC.O."</f>
        <v>14.142402/2024.00243/BC.O.</v>
      </c>
      <c r="E1126" s="12" t="str">
        <f>"1989100790"</f>
        <v>1989100790</v>
      </c>
      <c r="F1126" s="12" t="str">
        <f t="shared" ref="F1126:F1135" si="47">"ESTUCHE/DE DIAGNOSTICO"</f>
        <v>ESTUCHE/DE DIAGNOSTICO</v>
      </c>
      <c r="G1126" s="12" t="s">
        <v>19</v>
      </c>
      <c r="H1126" s="12" t="s">
        <v>20</v>
      </c>
      <c r="I1126" s="12">
        <v>1</v>
      </c>
      <c r="J1126" s="12" t="s">
        <v>21</v>
      </c>
      <c r="K1126" s="12" t="s">
        <v>22</v>
      </c>
      <c r="L1126" s="13">
        <v>50</v>
      </c>
    </row>
    <row r="1127" spans="1:12" ht="18" x14ac:dyDescent="0.25">
      <c r="A1127" s="11">
        <v>1123</v>
      </c>
      <c r="B1127" s="12" t="s">
        <v>652</v>
      </c>
      <c r="C1127" s="12" t="str">
        <f t="shared" si="45"/>
        <v>142402</v>
      </c>
      <c r="D1127" s="12" t="str">
        <f>"14.142402/2024.00244/BC.O."</f>
        <v>14.142402/2024.00244/BC.O.</v>
      </c>
      <c r="E1127" s="12" t="str">
        <f>"1993025260"</f>
        <v>1993025260</v>
      </c>
      <c r="F1127" s="12" t="str">
        <f t="shared" si="47"/>
        <v>ESTUCHE/DE DIAGNOSTICO</v>
      </c>
      <c r="G1127" s="12" t="s">
        <v>19</v>
      </c>
      <c r="H1127" s="12" t="s">
        <v>20</v>
      </c>
      <c r="I1127" s="12">
        <v>1</v>
      </c>
      <c r="J1127" s="12" t="s">
        <v>21</v>
      </c>
      <c r="K1127" s="12" t="s">
        <v>22</v>
      </c>
      <c r="L1127" s="13">
        <v>50</v>
      </c>
    </row>
    <row r="1128" spans="1:12" ht="18" x14ac:dyDescent="0.25">
      <c r="A1128" s="11">
        <v>1124</v>
      </c>
      <c r="B1128" s="12" t="s">
        <v>652</v>
      </c>
      <c r="C1128" s="12" t="str">
        <f t="shared" si="45"/>
        <v>142402</v>
      </c>
      <c r="D1128" s="12" t="str">
        <f>"14.142402/2024.00245/BC.O."</f>
        <v>14.142402/2024.00245/BC.O.</v>
      </c>
      <c r="E1128" s="12" t="str">
        <f>"2000935065"</f>
        <v>2000935065</v>
      </c>
      <c r="F1128" s="12" t="str">
        <f t="shared" si="47"/>
        <v>ESTUCHE/DE DIAGNOSTICO</v>
      </c>
      <c r="G1128" s="12" t="s">
        <v>19</v>
      </c>
      <c r="H1128" s="12" t="s">
        <v>20</v>
      </c>
      <c r="I1128" s="12">
        <v>1</v>
      </c>
      <c r="J1128" s="12" t="s">
        <v>21</v>
      </c>
      <c r="K1128" s="12" t="s">
        <v>22</v>
      </c>
      <c r="L1128" s="13">
        <v>50</v>
      </c>
    </row>
    <row r="1129" spans="1:12" ht="18" x14ac:dyDescent="0.25">
      <c r="A1129" s="11">
        <v>1125</v>
      </c>
      <c r="B1129" s="12" t="s">
        <v>652</v>
      </c>
      <c r="C1129" s="12" t="str">
        <f t="shared" si="45"/>
        <v>142402</v>
      </c>
      <c r="D1129" s="12" t="str">
        <f>"14.142402/2024.00246/BC.O."</f>
        <v>14.142402/2024.00246/BC.O.</v>
      </c>
      <c r="E1129" s="12" t="str">
        <f>"2002908183"</f>
        <v>2002908183</v>
      </c>
      <c r="F1129" s="12" t="str">
        <f t="shared" si="47"/>
        <v>ESTUCHE/DE DIAGNOSTICO</v>
      </c>
      <c r="G1129" s="12" t="s">
        <v>19</v>
      </c>
      <c r="H1129" s="12" t="s">
        <v>20</v>
      </c>
      <c r="I1129" s="12">
        <v>1</v>
      </c>
      <c r="J1129" s="12" t="s">
        <v>21</v>
      </c>
      <c r="K1129" s="12" t="s">
        <v>22</v>
      </c>
      <c r="L1129" s="13">
        <v>50</v>
      </c>
    </row>
    <row r="1130" spans="1:12" ht="18" x14ac:dyDescent="0.25">
      <c r="A1130" s="11">
        <v>1126</v>
      </c>
      <c r="B1130" s="12" t="s">
        <v>652</v>
      </c>
      <c r="C1130" s="12" t="str">
        <f t="shared" si="45"/>
        <v>142402</v>
      </c>
      <c r="D1130" s="12" t="str">
        <f>"14.142402/2024.00247/BC.O."</f>
        <v>14.142402/2024.00247/BC.O.</v>
      </c>
      <c r="E1130" s="12" t="str">
        <f>"2002908186"</f>
        <v>2002908186</v>
      </c>
      <c r="F1130" s="12" t="str">
        <f t="shared" si="47"/>
        <v>ESTUCHE/DE DIAGNOSTICO</v>
      </c>
      <c r="G1130" s="12" t="s">
        <v>19</v>
      </c>
      <c r="H1130" s="12" t="s">
        <v>20</v>
      </c>
      <c r="I1130" s="12">
        <v>1</v>
      </c>
      <c r="J1130" s="12" t="s">
        <v>21</v>
      </c>
      <c r="K1130" s="12" t="s">
        <v>22</v>
      </c>
      <c r="L1130" s="13">
        <v>50</v>
      </c>
    </row>
    <row r="1131" spans="1:12" ht="18" x14ac:dyDescent="0.25">
      <c r="A1131" s="11">
        <v>1127</v>
      </c>
      <c r="B1131" s="12" t="s">
        <v>652</v>
      </c>
      <c r="C1131" s="12" t="str">
        <f t="shared" si="45"/>
        <v>142402</v>
      </c>
      <c r="D1131" s="12" t="str">
        <f>"14.142402/2024.00248/BC.O."</f>
        <v>14.142402/2024.00248/BC.O.</v>
      </c>
      <c r="E1131" s="12" t="str">
        <f>"2002908190"</f>
        <v>2002908190</v>
      </c>
      <c r="F1131" s="12" t="str">
        <f t="shared" si="47"/>
        <v>ESTUCHE/DE DIAGNOSTICO</v>
      </c>
      <c r="G1131" s="12" t="s">
        <v>19</v>
      </c>
      <c r="H1131" s="12" t="s">
        <v>20</v>
      </c>
      <c r="I1131" s="12">
        <v>1</v>
      </c>
      <c r="J1131" s="12" t="s">
        <v>21</v>
      </c>
      <c r="K1131" s="12" t="s">
        <v>22</v>
      </c>
      <c r="L1131" s="13">
        <v>50</v>
      </c>
    </row>
    <row r="1132" spans="1:12" ht="18" x14ac:dyDescent="0.25">
      <c r="A1132" s="11">
        <v>1128</v>
      </c>
      <c r="B1132" s="12" t="s">
        <v>652</v>
      </c>
      <c r="C1132" s="12" t="str">
        <f t="shared" si="45"/>
        <v>142402</v>
      </c>
      <c r="D1132" s="12" t="str">
        <f>"14.142402/2024.00249/BC.O."</f>
        <v>14.142402/2024.00249/BC.O.</v>
      </c>
      <c r="E1132" s="12" t="str">
        <f>"2002908192"</f>
        <v>2002908192</v>
      </c>
      <c r="F1132" s="12" t="str">
        <f t="shared" si="47"/>
        <v>ESTUCHE/DE DIAGNOSTICO</v>
      </c>
      <c r="G1132" s="12" t="s">
        <v>19</v>
      </c>
      <c r="H1132" s="12" t="s">
        <v>20</v>
      </c>
      <c r="I1132" s="12">
        <v>1</v>
      </c>
      <c r="J1132" s="12" t="s">
        <v>21</v>
      </c>
      <c r="K1132" s="12" t="s">
        <v>22</v>
      </c>
      <c r="L1132" s="13">
        <v>50</v>
      </c>
    </row>
    <row r="1133" spans="1:12" ht="18" x14ac:dyDescent="0.25">
      <c r="A1133" s="11">
        <v>1129</v>
      </c>
      <c r="B1133" s="12" t="s">
        <v>652</v>
      </c>
      <c r="C1133" s="12" t="str">
        <f t="shared" si="45"/>
        <v>142402</v>
      </c>
      <c r="D1133" s="12" t="str">
        <f>"14.142402/2024.00250/BC.O."</f>
        <v>14.142402/2024.00250/BC.O.</v>
      </c>
      <c r="E1133" s="12" t="str">
        <f>"2002908200"</f>
        <v>2002908200</v>
      </c>
      <c r="F1133" s="12" t="str">
        <f t="shared" si="47"/>
        <v>ESTUCHE/DE DIAGNOSTICO</v>
      </c>
      <c r="G1133" s="12" t="s">
        <v>19</v>
      </c>
      <c r="H1133" s="12" t="s">
        <v>20</v>
      </c>
      <c r="I1133" s="12">
        <v>1</v>
      </c>
      <c r="J1133" s="12" t="s">
        <v>21</v>
      </c>
      <c r="K1133" s="12" t="s">
        <v>22</v>
      </c>
      <c r="L1133" s="13">
        <v>50</v>
      </c>
    </row>
    <row r="1134" spans="1:12" ht="18" x14ac:dyDescent="0.25">
      <c r="A1134" s="11">
        <v>1130</v>
      </c>
      <c r="B1134" s="12" t="s">
        <v>652</v>
      </c>
      <c r="C1134" s="12" t="str">
        <f t="shared" si="45"/>
        <v>142402</v>
      </c>
      <c r="D1134" s="12" t="str">
        <f>"14.142402/2024.00251/BC.O."</f>
        <v>14.142402/2024.00251/BC.O.</v>
      </c>
      <c r="E1134" s="12" t="str">
        <f>"2002908201"</f>
        <v>2002908201</v>
      </c>
      <c r="F1134" s="12" t="str">
        <f t="shared" si="47"/>
        <v>ESTUCHE/DE DIAGNOSTICO</v>
      </c>
      <c r="G1134" s="12" t="s">
        <v>19</v>
      </c>
      <c r="H1134" s="12" t="s">
        <v>20</v>
      </c>
      <c r="I1134" s="12">
        <v>1</v>
      </c>
      <c r="J1134" s="12" t="s">
        <v>21</v>
      </c>
      <c r="K1134" s="12" t="s">
        <v>22</v>
      </c>
      <c r="L1134" s="13">
        <v>50</v>
      </c>
    </row>
    <row r="1135" spans="1:12" ht="18" x14ac:dyDescent="0.25">
      <c r="A1135" s="11">
        <v>1131</v>
      </c>
      <c r="B1135" s="12" t="s">
        <v>652</v>
      </c>
      <c r="C1135" s="12" t="str">
        <f t="shared" si="45"/>
        <v>142402</v>
      </c>
      <c r="D1135" s="12" t="str">
        <f>"14.142402/2024.00252/BC.O."</f>
        <v>14.142402/2024.00252/BC.O.</v>
      </c>
      <c r="E1135" s="12" t="str">
        <f>"2002908206"</f>
        <v>2002908206</v>
      </c>
      <c r="F1135" s="12" t="str">
        <f t="shared" si="47"/>
        <v>ESTUCHE/DE DIAGNOSTICO</v>
      </c>
      <c r="G1135" s="12" t="s">
        <v>19</v>
      </c>
      <c r="H1135" s="12" t="s">
        <v>20</v>
      </c>
      <c r="I1135" s="12">
        <v>1</v>
      </c>
      <c r="J1135" s="12" t="s">
        <v>21</v>
      </c>
      <c r="K1135" s="12" t="s">
        <v>22</v>
      </c>
      <c r="L1135" s="13">
        <v>50</v>
      </c>
    </row>
    <row r="1136" spans="1:12" ht="18" x14ac:dyDescent="0.25">
      <c r="A1136" s="11">
        <v>1132</v>
      </c>
      <c r="B1136" s="12" t="s">
        <v>652</v>
      </c>
      <c r="C1136" s="12" t="str">
        <f t="shared" si="45"/>
        <v>142402</v>
      </c>
      <c r="D1136" s="12" t="str">
        <f>"14.142402/2024.00253/BC.O."</f>
        <v>14.142402/2024.00253/BC.O.</v>
      </c>
      <c r="E1136" s="12" t="str">
        <f>"200490011270"</f>
        <v>200490011270</v>
      </c>
      <c r="F1136" s="12" t="str">
        <f>"ESFIGNOMANOMETROS/MERCURIAL"</f>
        <v>ESFIGNOMANOMETROS/MERCURIAL</v>
      </c>
      <c r="G1136" s="12" t="s">
        <v>19</v>
      </c>
      <c r="H1136" s="12" t="s">
        <v>20</v>
      </c>
      <c r="I1136" s="12">
        <v>1</v>
      </c>
      <c r="J1136" s="12" t="s">
        <v>21</v>
      </c>
      <c r="K1136" s="12" t="s">
        <v>22</v>
      </c>
      <c r="L1136" s="13">
        <v>50</v>
      </c>
    </row>
    <row r="1137" spans="1:12" ht="18" x14ac:dyDescent="0.25">
      <c r="A1137" s="11">
        <v>1133</v>
      </c>
      <c r="B1137" s="12" t="s">
        <v>652</v>
      </c>
      <c r="C1137" s="12" t="str">
        <f t="shared" si="45"/>
        <v>142402</v>
      </c>
      <c r="D1137" s="12" t="str">
        <f>"14.142402/2024.00254/BC.O."</f>
        <v>14.142402/2024.00254/BC.O.</v>
      </c>
      <c r="E1137" s="12" t="str">
        <f>"200490011271"</f>
        <v>200490011271</v>
      </c>
      <c r="F1137" s="12" t="str">
        <f>"ESFIGNOMANOMETROS/MERCURIAL"</f>
        <v>ESFIGNOMANOMETROS/MERCURIAL</v>
      </c>
      <c r="G1137" s="12" t="s">
        <v>19</v>
      </c>
      <c r="H1137" s="12" t="s">
        <v>20</v>
      </c>
      <c r="I1137" s="12">
        <v>1</v>
      </c>
      <c r="J1137" s="12" t="s">
        <v>21</v>
      </c>
      <c r="K1137" s="12" t="s">
        <v>22</v>
      </c>
      <c r="L1137" s="13">
        <v>35</v>
      </c>
    </row>
    <row r="1138" spans="1:12" ht="18" x14ac:dyDescent="0.25">
      <c r="A1138" s="11">
        <v>1134</v>
      </c>
      <c r="B1138" s="12" t="s">
        <v>652</v>
      </c>
      <c r="C1138" s="12" t="str">
        <f t="shared" si="45"/>
        <v>142402</v>
      </c>
      <c r="D1138" s="12" t="str">
        <f>"14.142402/2024.00255/BC.O."</f>
        <v>14.142402/2024.00255/BC.O.</v>
      </c>
      <c r="E1138" s="12" t="str">
        <f>"200490011272"</f>
        <v>200490011272</v>
      </c>
      <c r="F1138" s="12" t="str">
        <f>"ESFIGNOMANOMETROS/MERCURIAL"</f>
        <v>ESFIGNOMANOMETROS/MERCURIAL</v>
      </c>
      <c r="G1138" s="12" t="s">
        <v>19</v>
      </c>
      <c r="H1138" s="12" t="s">
        <v>20</v>
      </c>
      <c r="I1138" s="12">
        <v>1</v>
      </c>
      <c r="J1138" s="12" t="s">
        <v>21</v>
      </c>
      <c r="K1138" s="12" t="s">
        <v>22</v>
      </c>
      <c r="L1138" s="13">
        <v>50</v>
      </c>
    </row>
    <row r="1139" spans="1:12" ht="18" x14ac:dyDescent="0.25">
      <c r="A1139" s="11">
        <v>1135</v>
      </c>
      <c r="B1139" s="12" t="s">
        <v>653</v>
      </c>
      <c r="C1139" s="12" t="str">
        <f>"142457"</f>
        <v>142457</v>
      </c>
      <c r="D1139" s="12" t="str">
        <f>"14.142457/2024.00407/BC.O."</f>
        <v>14.142457/2024.00407/BC.O.</v>
      </c>
      <c r="E1139" s="12" t="str">
        <f>"1997400628Y"</f>
        <v>1997400628Y</v>
      </c>
      <c r="F1139" s="12" t="str">
        <f>"LIBRO/DE CONSULTA"</f>
        <v>LIBRO/DE CONSULTA</v>
      </c>
      <c r="G1139" s="12" t="s">
        <v>19</v>
      </c>
      <c r="H1139" s="12" t="s">
        <v>20</v>
      </c>
      <c r="I1139" s="12">
        <v>1</v>
      </c>
      <c r="J1139" s="12" t="s">
        <v>21</v>
      </c>
      <c r="K1139" s="12" t="s">
        <v>22</v>
      </c>
      <c r="L1139" s="13">
        <v>30</v>
      </c>
    </row>
    <row r="1140" spans="1:12" ht="18" x14ac:dyDescent="0.25">
      <c r="A1140" s="11">
        <v>1136</v>
      </c>
      <c r="B1140" s="12" t="s">
        <v>653</v>
      </c>
      <c r="C1140" s="12" t="str">
        <f>"142457"</f>
        <v>142457</v>
      </c>
      <c r="D1140" s="12" t="str">
        <f>"14.142457/2024.00406/BC.O."</f>
        <v>14.142457/2024.00406/BC.O.</v>
      </c>
      <c r="E1140" s="12" t="str">
        <f>"1998014559"</f>
        <v>1998014559</v>
      </c>
      <c r="F1140" s="12" t="str">
        <f>"DETECTOR/DE PULSO FETAL"</f>
        <v>DETECTOR/DE PULSO FETAL</v>
      </c>
      <c r="G1140" s="12" t="s">
        <v>19</v>
      </c>
      <c r="H1140" s="12" t="s">
        <v>20</v>
      </c>
      <c r="I1140" s="12">
        <v>1</v>
      </c>
      <c r="J1140" s="12" t="s">
        <v>21</v>
      </c>
      <c r="K1140" s="12" t="s">
        <v>22</v>
      </c>
      <c r="L1140" s="13">
        <v>25</v>
      </c>
    </row>
    <row r="1141" spans="1:12" ht="18" x14ac:dyDescent="0.25">
      <c r="A1141" s="11">
        <v>1137</v>
      </c>
      <c r="B1141" s="12" t="s">
        <v>653</v>
      </c>
      <c r="C1141" s="12" t="str">
        <f>"142457"</f>
        <v>142457</v>
      </c>
      <c r="D1141" s="12" t="str">
        <f>"14.142457/2024.00408/BC.O."</f>
        <v>14.142457/2024.00408/BC.O.</v>
      </c>
      <c r="E1141" s="12" t="str">
        <f>"2000907125"</f>
        <v>2000907125</v>
      </c>
      <c r="F1141" s="12" t="str">
        <f>"TERMOMETRO/DIGITAL"</f>
        <v>TERMOMETRO/DIGITAL</v>
      </c>
      <c r="G1141" s="12" t="s">
        <v>19</v>
      </c>
      <c r="H1141" s="12" t="s">
        <v>20</v>
      </c>
      <c r="I1141" s="12">
        <v>1</v>
      </c>
      <c r="J1141" s="12" t="s">
        <v>21</v>
      </c>
      <c r="K1141" s="12" t="s">
        <v>22</v>
      </c>
      <c r="L1141" s="13">
        <v>15</v>
      </c>
    </row>
    <row r="1142" spans="1:12" ht="18" x14ac:dyDescent="0.25">
      <c r="A1142" s="11">
        <v>1138</v>
      </c>
      <c r="B1142" s="12" t="s">
        <v>653</v>
      </c>
      <c r="C1142" s="12" t="str">
        <f>"142457"</f>
        <v>142457</v>
      </c>
      <c r="D1142" s="12" t="str">
        <f>"14.142457/2024.00405/BC.O."</f>
        <v>14.142457/2024.00405/BC.O.</v>
      </c>
      <c r="E1142" s="12" t="str">
        <f>"2002901172"</f>
        <v>2002901172</v>
      </c>
      <c r="F1142" s="12" t="str">
        <f>"DOSIFICADOR/Y AMALGAMADOR ESTOMATOLOGICO"</f>
        <v>DOSIFICADOR/Y AMALGAMADOR ESTOMATOLOGICO</v>
      </c>
      <c r="G1142" s="12" t="s">
        <v>19</v>
      </c>
      <c r="H1142" s="12" t="s">
        <v>20</v>
      </c>
      <c r="I1142" s="12">
        <v>1</v>
      </c>
      <c r="J1142" s="12" t="s">
        <v>21</v>
      </c>
      <c r="K1142" s="12" t="s">
        <v>22</v>
      </c>
      <c r="L1142" s="13">
        <v>50</v>
      </c>
    </row>
    <row r="1143" spans="1:12" ht="18" x14ac:dyDescent="0.25">
      <c r="A1143" s="11">
        <v>1139</v>
      </c>
      <c r="B1143" s="12" t="s">
        <v>653</v>
      </c>
      <c r="C1143" s="12" t="str">
        <f>"142457"</f>
        <v>142457</v>
      </c>
      <c r="D1143" s="12" t="str">
        <f>"14.142457/2024.00404/BC.O."</f>
        <v>14.142457/2024.00404/BC.O.</v>
      </c>
      <c r="E1143" s="12" t="str">
        <f>"200480018550"</f>
        <v>200480018550</v>
      </c>
      <c r="F1143" s="12" t="str">
        <f>"TERMOMETRO/ELECTRONICO LECTURA DIGITAL"</f>
        <v>TERMOMETRO/ELECTRONICO LECTURA DIGITAL</v>
      </c>
      <c r="G1143" s="12" t="s">
        <v>19</v>
      </c>
      <c r="H1143" s="12" t="s">
        <v>20</v>
      </c>
      <c r="I1143" s="12">
        <v>1</v>
      </c>
      <c r="J1143" s="12" t="s">
        <v>21</v>
      </c>
      <c r="K1143" s="12" t="s">
        <v>22</v>
      </c>
      <c r="L1143" s="13">
        <v>25</v>
      </c>
    </row>
    <row r="1144" spans="1:12" ht="18" x14ac:dyDescent="0.25">
      <c r="A1144" s="11">
        <v>1140</v>
      </c>
      <c r="B1144" s="12" t="s">
        <v>654</v>
      </c>
      <c r="C1144" s="12" t="str">
        <f>"142208"</f>
        <v>142208</v>
      </c>
      <c r="D1144" s="12" t="str">
        <f>"14.142208/2024.00001/BC.I."</f>
        <v>14.142208/2024.00001/BC.I.</v>
      </c>
      <c r="E1144" s="12" t="str">
        <f>"200880020423"</f>
        <v>200880020423</v>
      </c>
      <c r="F1144" s="12" t="str">
        <f>"COMPUTADORA/MICROCOMPUTADORA"</f>
        <v>COMPUTADORA/MICROCOMPUTADORA</v>
      </c>
      <c r="G1144" s="12" t="s">
        <v>19</v>
      </c>
      <c r="H1144" s="12" t="s">
        <v>20</v>
      </c>
      <c r="I1144" s="12">
        <v>1</v>
      </c>
      <c r="J1144" s="12" t="s">
        <v>21</v>
      </c>
      <c r="K1144" s="12" t="s">
        <v>22</v>
      </c>
      <c r="L1144" s="13">
        <v>35</v>
      </c>
    </row>
    <row r="1145" spans="1:12" ht="18" x14ac:dyDescent="0.25">
      <c r="A1145" s="11">
        <v>1141</v>
      </c>
      <c r="B1145" s="12" t="s">
        <v>654</v>
      </c>
      <c r="C1145" s="12" t="str">
        <f>"142208"</f>
        <v>142208</v>
      </c>
      <c r="D1145" s="12" t="str">
        <f>"14.142208/2024.00002/BC.I."</f>
        <v>14.142208/2024.00002/BC.I.</v>
      </c>
      <c r="E1145" s="12" t="str">
        <f>"200880050716"</f>
        <v>200880050716</v>
      </c>
      <c r="F1145" s="12" t="str">
        <f>"COMPUTADORA/MICROCOMPUTADORA"</f>
        <v>COMPUTADORA/MICROCOMPUTADORA</v>
      </c>
      <c r="G1145" s="12" t="s">
        <v>19</v>
      </c>
      <c r="H1145" s="12" t="s">
        <v>20</v>
      </c>
      <c r="I1145" s="12">
        <v>1</v>
      </c>
      <c r="J1145" s="12" t="s">
        <v>21</v>
      </c>
      <c r="K1145" s="12" t="s">
        <v>22</v>
      </c>
      <c r="L1145" s="13">
        <v>35</v>
      </c>
    </row>
    <row r="1146" spans="1:12" ht="18" x14ac:dyDescent="0.25">
      <c r="A1146" s="11">
        <v>1142</v>
      </c>
      <c r="B1146" s="12" t="s">
        <v>655</v>
      </c>
      <c r="C1146" s="12" t="str">
        <f>"142209"</f>
        <v>142209</v>
      </c>
      <c r="D1146" s="12" t="str">
        <f>"14.142209/2024.00028/BC.I."</f>
        <v>14.142209/2024.00028/BC.I.</v>
      </c>
      <c r="E1146" s="12" t="str">
        <f>"200880020436"</f>
        <v>200880020436</v>
      </c>
      <c r="F1146" s="12" t="str">
        <f>"COMPUTADORA/MICROCOMPUTADORA"</f>
        <v>COMPUTADORA/MICROCOMPUTADORA</v>
      </c>
      <c r="G1146" s="12" t="s">
        <v>19</v>
      </c>
      <c r="H1146" s="12" t="s">
        <v>20</v>
      </c>
      <c r="I1146" s="12">
        <v>1</v>
      </c>
      <c r="J1146" s="12" t="s">
        <v>21</v>
      </c>
      <c r="K1146" s="12" t="s">
        <v>22</v>
      </c>
      <c r="L1146" s="13">
        <v>35</v>
      </c>
    </row>
    <row r="1147" spans="1:12" ht="18" x14ac:dyDescent="0.25">
      <c r="A1147" s="11">
        <v>1143</v>
      </c>
      <c r="B1147" s="12" t="s">
        <v>655</v>
      </c>
      <c r="C1147" s="12" t="str">
        <f>"142209"</f>
        <v>142209</v>
      </c>
      <c r="D1147" s="12" t="str">
        <f>"14.142209/2024.00027/BC.I."</f>
        <v>14.142209/2024.00027/BC.I.</v>
      </c>
      <c r="E1147" s="12" t="str">
        <f>"201080053694"</f>
        <v>201080053694</v>
      </c>
      <c r="F1147" s="12" t="str">
        <f>"COMPUTADORA/MICROCOMPUTADORA"</f>
        <v>COMPUTADORA/MICROCOMPUTADORA</v>
      </c>
      <c r="G1147" s="12" t="s">
        <v>19</v>
      </c>
      <c r="H1147" s="12" t="s">
        <v>20</v>
      </c>
      <c r="I1147" s="12">
        <v>1</v>
      </c>
      <c r="J1147" s="12" t="s">
        <v>21</v>
      </c>
      <c r="K1147" s="12" t="s">
        <v>22</v>
      </c>
      <c r="L1147" s="13">
        <v>35</v>
      </c>
    </row>
    <row r="1148" spans="1:12" ht="18" x14ac:dyDescent="0.25">
      <c r="A1148" s="11">
        <v>1144</v>
      </c>
      <c r="B1148" s="12" t="s">
        <v>655</v>
      </c>
      <c r="C1148" s="12" t="str">
        <f>"142209"</f>
        <v>142209</v>
      </c>
      <c r="D1148" s="12" t="str">
        <f>"14.142209/2024.00026/BC.I."</f>
        <v>14.142209/2024.00026/BC.I.</v>
      </c>
      <c r="E1148" s="12" t="str">
        <f>"201080059983"</f>
        <v>201080059983</v>
      </c>
      <c r="F1148" s="12" t="str">
        <f>"COMPUTADORA/MICROCOMPUTADORA"</f>
        <v>COMPUTADORA/MICROCOMPUTADORA</v>
      </c>
      <c r="G1148" s="12" t="s">
        <v>19</v>
      </c>
      <c r="H1148" s="12" t="s">
        <v>20</v>
      </c>
      <c r="I1148" s="12">
        <v>1</v>
      </c>
      <c r="J1148" s="12" t="s">
        <v>21</v>
      </c>
      <c r="K1148" s="12" t="s">
        <v>22</v>
      </c>
      <c r="L1148" s="13">
        <v>35</v>
      </c>
    </row>
    <row r="1149" spans="1:12" ht="18" x14ac:dyDescent="0.25">
      <c r="A1149" s="11">
        <v>1145</v>
      </c>
      <c r="B1149" s="12" t="s">
        <v>656</v>
      </c>
      <c r="C1149" s="12" t="str">
        <f>"142205"</f>
        <v>142205</v>
      </c>
      <c r="D1149" s="12" t="str">
        <f>"14.142205/2024.00001/BC.O."</f>
        <v>14.142205/2024.00001/BC.O.</v>
      </c>
      <c r="E1149" s="12" t="str">
        <f>"201100016488"</f>
        <v>201100016488</v>
      </c>
      <c r="F1149" s="12" t="str">
        <f>"DETECTOR/DE PULSO FETAL"</f>
        <v>DETECTOR/DE PULSO FETAL</v>
      </c>
      <c r="G1149" s="12" t="s">
        <v>19</v>
      </c>
      <c r="H1149" s="12" t="s">
        <v>20</v>
      </c>
      <c r="I1149" s="12">
        <v>1</v>
      </c>
      <c r="J1149" s="12" t="s">
        <v>21</v>
      </c>
      <c r="K1149" s="12" t="s">
        <v>22</v>
      </c>
      <c r="L1149" s="13">
        <v>25</v>
      </c>
    </row>
    <row r="1150" spans="1:12" ht="18" x14ac:dyDescent="0.25">
      <c r="A1150" s="11">
        <v>1146</v>
      </c>
      <c r="B1150" s="12" t="s">
        <v>656</v>
      </c>
      <c r="C1150" s="12" t="str">
        <f>"142205"</f>
        <v>142205</v>
      </c>
      <c r="D1150" s="12" t="str">
        <f>"14.142205/2024.00002/BC.O."</f>
        <v>14.142205/2024.00002/BC.O.</v>
      </c>
      <c r="E1150" s="12" t="str">
        <f>"201300009619"</f>
        <v>201300009619</v>
      </c>
      <c r="F1150" s="12" t="str">
        <f>"UNIDAD/ESTOMATOLOGICA"</f>
        <v>UNIDAD/ESTOMATOLOGICA</v>
      </c>
      <c r="G1150" s="12" t="s">
        <v>19</v>
      </c>
      <c r="H1150" s="12" t="s">
        <v>20</v>
      </c>
      <c r="I1150" s="12">
        <v>1</v>
      </c>
      <c r="J1150" s="12" t="s">
        <v>21</v>
      </c>
      <c r="K1150" s="12" t="s">
        <v>22</v>
      </c>
      <c r="L1150" s="13">
        <v>50</v>
      </c>
    </row>
    <row r="1151" spans="1:12" ht="18" x14ac:dyDescent="0.25">
      <c r="A1151" s="11">
        <v>1147</v>
      </c>
      <c r="B1151" s="12" t="s">
        <v>657</v>
      </c>
      <c r="C1151" s="12" t="str">
        <f t="shared" ref="C1151:C1162" si="48">"142206"</f>
        <v>142206</v>
      </c>
      <c r="D1151" s="12" t="str">
        <f>"14.142206/2024.00010/BC.I."</f>
        <v>14.142206/2024.00010/BC.I.</v>
      </c>
      <c r="E1151" s="12" t="str">
        <f>"200880020527"</f>
        <v>200880020527</v>
      </c>
      <c r="F1151" s="12" t="str">
        <f>"COMPUTADORA/MICROCOMPUTADORA"</f>
        <v>COMPUTADORA/MICROCOMPUTADORA</v>
      </c>
      <c r="G1151" s="12" t="s">
        <v>19</v>
      </c>
      <c r="H1151" s="12" t="s">
        <v>20</v>
      </c>
      <c r="I1151" s="12">
        <v>1</v>
      </c>
      <c r="J1151" s="12" t="s">
        <v>21</v>
      </c>
      <c r="K1151" s="12" t="s">
        <v>22</v>
      </c>
      <c r="L1151" s="13">
        <v>35</v>
      </c>
    </row>
    <row r="1152" spans="1:12" ht="18" x14ac:dyDescent="0.25">
      <c r="A1152" s="11">
        <v>1148</v>
      </c>
      <c r="B1152" s="12" t="s">
        <v>657</v>
      </c>
      <c r="C1152" s="12" t="str">
        <f t="shared" si="48"/>
        <v>142206</v>
      </c>
      <c r="D1152" s="12" t="str">
        <f>"14.142206/2024.00011/BC.I."</f>
        <v>14.142206/2024.00011/BC.I.</v>
      </c>
      <c r="E1152" s="12" t="str">
        <f>"201080053894"</f>
        <v>201080053894</v>
      </c>
      <c r="F1152" s="12" t="str">
        <f>"COMPUTADORA/MICROCOMPUTADORA"</f>
        <v>COMPUTADORA/MICROCOMPUTADORA</v>
      </c>
      <c r="G1152" s="12" t="s">
        <v>19</v>
      </c>
      <c r="H1152" s="12" t="s">
        <v>20</v>
      </c>
      <c r="I1152" s="12">
        <v>1</v>
      </c>
      <c r="J1152" s="12" t="s">
        <v>21</v>
      </c>
      <c r="K1152" s="12" t="s">
        <v>22</v>
      </c>
      <c r="L1152" s="13">
        <v>35</v>
      </c>
    </row>
    <row r="1153" spans="1:12" ht="18" x14ac:dyDescent="0.25">
      <c r="A1153" s="11">
        <v>1149</v>
      </c>
      <c r="B1153" s="12" t="s">
        <v>657</v>
      </c>
      <c r="C1153" s="12" t="str">
        <f t="shared" si="48"/>
        <v>142206</v>
      </c>
      <c r="D1153" s="12" t="str">
        <f>"14.142206/2024.00012/BC.I."</f>
        <v>14.142206/2024.00012/BC.I.</v>
      </c>
      <c r="E1153" s="12" t="str">
        <f>"201080053897"</f>
        <v>201080053897</v>
      </c>
      <c r="F1153" s="12" t="str">
        <f>"COMPUTADORA/MICROCOMPUTADORA"</f>
        <v>COMPUTADORA/MICROCOMPUTADORA</v>
      </c>
      <c r="G1153" s="12" t="s">
        <v>19</v>
      </c>
      <c r="H1153" s="12" t="s">
        <v>20</v>
      </c>
      <c r="I1153" s="12">
        <v>1</v>
      </c>
      <c r="J1153" s="12" t="s">
        <v>21</v>
      </c>
      <c r="K1153" s="12" t="s">
        <v>22</v>
      </c>
      <c r="L1153" s="13">
        <v>35</v>
      </c>
    </row>
    <row r="1154" spans="1:12" ht="18" x14ac:dyDescent="0.25">
      <c r="A1154" s="11">
        <v>1150</v>
      </c>
      <c r="B1154" s="12" t="s">
        <v>657</v>
      </c>
      <c r="C1154" s="12" t="str">
        <f t="shared" si="48"/>
        <v>142206</v>
      </c>
      <c r="D1154" s="12" t="str">
        <f>"14.142206/2024.00001/BC.O."</f>
        <v>14.142206/2024.00001/BC.O.</v>
      </c>
      <c r="E1154" s="12" t="str">
        <f>"1993014889"</f>
        <v>1993014889</v>
      </c>
      <c r="F1154" s="12" t="str">
        <f>"CAMA/METALICA"</f>
        <v>CAMA/METALICA</v>
      </c>
      <c r="G1154" s="12" t="s">
        <v>19</v>
      </c>
      <c r="H1154" s="12" t="s">
        <v>20</v>
      </c>
      <c r="I1154" s="12">
        <v>1</v>
      </c>
      <c r="J1154" s="12" t="s">
        <v>21</v>
      </c>
      <c r="K1154" s="12" t="s">
        <v>22</v>
      </c>
      <c r="L1154" s="13">
        <v>150</v>
      </c>
    </row>
    <row r="1155" spans="1:12" ht="18" x14ac:dyDescent="0.25">
      <c r="A1155" s="11">
        <v>1151</v>
      </c>
      <c r="B1155" s="12" t="s">
        <v>657</v>
      </c>
      <c r="C1155" s="12" t="str">
        <f t="shared" si="48"/>
        <v>142206</v>
      </c>
      <c r="D1155" s="12" t="str">
        <f>"14.142206/2024.00002/BC.O."</f>
        <v>14.142206/2024.00002/BC.O.</v>
      </c>
      <c r="E1155" s="12" t="str">
        <f>"2000905892"</f>
        <v>2000905892</v>
      </c>
      <c r="F1155" s="12" t="str">
        <f>"UNIDAD/ESTOMATOLOGICA"</f>
        <v>UNIDAD/ESTOMATOLOGICA</v>
      </c>
      <c r="G1155" s="12" t="s">
        <v>19</v>
      </c>
      <c r="H1155" s="12" t="s">
        <v>20</v>
      </c>
      <c r="I1155" s="12">
        <v>1</v>
      </c>
      <c r="J1155" s="12" t="s">
        <v>21</v>
      </c>
      <c r="K1155" s="12" t="s">
        <v>22</v>
      </c>
      <c r="L1155" s="13">
        <v>50</v>
      </c>
    </row>
    <row r="1156" spans="1:12" ht="18" x14ac:dyDescent="0.25">
      <c r="A1156" s="11">
        <v>1152</v>
      </c>
      <c r="B1156" s="12" t="s">
        <v>657</v>
      </c>
      <c r="C1156" s="12" t="str">
        <f t="shared" si="48"/>
        <v>142206</v>
      </c>
      <c r="D1156" s="12" t="str">
        <f>"14.142206/2024.00003/BC.O."</f>
        <v>14.142206/2024.00003/BC.O.</v>
      </c>
      <c r="E1156" s="12" t="str">
        <f>"2000993420"</f>
        <v>2000993420</v>
      </c>
      <c r="F1156" s="12" t="str">
        <f>"SILLA/DE RUEDAS"</f>
        <v>SILLA/DE RUEDAS</v>
      </c>
      <c r="G1156" s="12" t="s">
        <v>19</v>
      </c>
      <c r="H1156" s="12" t="s">
        <v>20</v>
      </c>
      <c r="I1156" s="12">
        <v>1</v>
      </c>
      <c r="J1156" s="12" t="s">
        <v>21</v>
      </c>
      <c r="K1156" s="12" t="s">
        <v>22</v>
      </c>
      <c r="L1156" s="13">
        <v>35</v>
      </c>
    </row>
    <row r="1157" spans="1:12" ht="18" x14ac:dyDescent="0.25">
      <c r="A1157" s="11">
        <v>1153</v>
      </c>
      <c r="B1157" s="12" t="s">
        <v>657</v>
      </c>
      <c r="C1157" s="12" t="str">
        <f t="shared" si="48"/>
        <v>142206</v>
      </c>
      <c r="D1157" s="12" t="str">
        <f>"14.142206/2024.00004/BC.O."</f>
        <v>14.142206/2024.00004/BC.O.</v>
      </c>
      <c r="E1157" s="12" t="str">
        <f>"2000993421"</f>
        <v>2000993421</v>
      </c>
      <c r="F1157" s="12" t="str">
        <f>"SILLA/DE RUEDAS"</f>
        <v>SILLA/DE RUEDAS</v>
      </c>
      <c r="G1157" s="12" t="s">
        <v>19</v>
      </c>
      <c r="H1157" s="12" t="s">
        <v>20</v>
      </c>
      <c r="I1157" s="12">
        <v>1</v>
      </c>
      <c r="J1157" s="12" t="s">
        <v>21</v>
      </c>
      <c r="K1157" s="12" t="s">
        <v>22</v>
      </c>
      <c r="L1157" s="13">
        <v>35</v>
      </c>
    </row>
    <row r="1158" spans="1:12" ht="18" x14ac:dyDescent="0.25">
      <c r="A1158" s="11">
        <v>1154</v>
      </c>
      <c r="B1158" s="12" t="s">
        <v>657</v>
      </c>
      <c r="C1158" s="12" t="str">
        <f t="shared" si="48"/>
        <v>142206</v>
      </c>
      <c r="D1158" s="12" t="str">
        <f>"14.142206/2024.00005/BC.O."</f>
        <v>14.142206/2024.00005/BC.O.</v>
      </c>
      <c r="E1158" s="12" t="str">
        <f>"2001994268"</f>
        <v>2001994268</v>
      </c>
      <c r="F1158" s="12" t="str">
        <f>"CARRO/CAMILLA"</f>
        <v>CARRO/CAMILLA</v>
      </c>
      <c r="G1158" s="12" t="s">
        <v>19</v>
      </c>
      <c r="H1158" s="12" t="s">
        <v>20</v>
      </c>
      <c r="I1158" s="12">
        <v>1</v>
      </c>
      <c r="J1158" s="12" t="s">
        <v>21</v>
      </c>
      <c r="K1158" s="12" t="s">
        <v>22</v>
      </c>
      <c r="L1158" s="13">
        <v>150</v>
      </c>
    </row>
    <row r="1159" spans="1:12" ht="18" x14ac:dyDescent="0.25">
      <c r="A1159" s="11">
        <v>1155</v>
      </c>
      <c r="B1159" s="12" t="s">
        <v>657</v>
      </c>
      <c r="C1159" s="12" t="str">
        <f t="shared" si="48"/>
        <v>142206</v>
      </c>
      <c r="D1159" s="12" t="str">
        <f>"14.142206/2024.00006/BC.O."</f>
        <v>14.142206/2024.00006/BC.O.</v>
      </c>
      <c r="E1159" s="12" t="str">
        <f>"2002914780"</f>
        <v>2002914780</v>
      </c>
      <c r="F1159" s="12" t="str">
        <f>"BANCA/EN TANDEM DE 3 PLAZAS"</f>
        <v>BANCA/EN TANDEM DE 3 PLAZAS</v>
      </c>
      <c r="G1159" s="12" t="s">
        <v>19</v>
      </c>
      <c r="H1159" s="12" t="s">
        <v>20</v>
      </c>
      <c r="I1159" s="12">
        <v>1</v>
      </c>
      <c r="J1159" s="12" t="s">
        <v>21</v>
      </c>
      <c r="K1159" s="12" t="s">
        <v>22</v>
      </c>
      <c r="L1159" s="13">
        <v>30</v>
      </c>
    </row>
    <row r="1160" spans="1:12" ht="18" x14ac:dyDescent="0.25">
      <c r="A1160" s="11">
        <v>1156</v>
      </c>
      <c r="B1160" s="12" t="s">
        <v>657</v>
      </c>
      <c r="C1160" s="12" t="str">
        <f t="shared" si="48"/>
        <v>142206</v>
      </c>
      <c r="D1160" s="12" t="str">
        <f>"14.142206/2024.00007/BC.O."</f>
        <v>14.142206/2024.00007/BC.O.</v>
      </c>
      <c r="E1160" s="12" t="str">
        <f>"200400029680"</f>
        <v>200400029680</v>
      </c>
      <c r="F1160" s="12" t="str">
        <f>"SILLON/CONFORTABLE"</f>
        <v>SILLON/CONFORTABLE</v>
      </c>
      <c r="G1160" s="12" t="s">
        <v>19</v>
      </c>
      <c r="H1160" s="12" t="s">
        <v>20</v>
      </c>
      <c r="I1160" s="12">
        <v>1</v>
      </c>
      <c r="J1160" s="12" t="s">
        <v>21</v>
      </c>
      <c r="K1160" s="12" t="s">
        <v>22</v>
      </c>
      <c r="L1160" s="13">
        <v>25</v>
      </c>
    </row>
    <row r="1161" spans="1:12" ht="18" x14ac:dyDescent="0.25">
      <c r="A1161" s="11">
        <v>1157</v>
      </c>
      <c r="B1161" s="12" t="s">
        <v>657</v>
      </c>
      <c r="C1161" s="12" t="str">
        <f t="shared" si="48"/>
        <v>142206</v>
      </c>
      <c r="D1161" s="12" t="str">
        <f>"14.142206/2024.00008/BC.O."</f>
        <v>14.142206/2024.00008/BC.O.</v>
      </c>
      <c r="E1161" s="12" t="str">
        <f>"200400029681"</f>
        <v>200400029681</v>
      </c>
      <c r="F1161" s="12" t="str">
        <f>"SILLON/CONFORTABLE"</f>
        <v>SILLON/CONFORTABLE</v>
      </c>
      <c r="G1161" s="12" t="s">
        <v>19</v>
      </c>
      <c r="H1161" s="12" t="s">
        <v>20</v>
      </c>
      <c r="I1161" s="12">
        <v>1</v>
      </c>
      <c r="J1161" s="12" t="s">
        <v>21</v>
      </c>
      <c r="K1161" s="12" t="s">
        <v>22</v>
      </c>
      <c r="L1161" s="13">
        <v>25</v>
      </c>
    </row>
    <row r="1162" spans="1:12" ht="18" x14ac:dyDescent="0.25">
      <c r="A1162" s="11">
        <v>1158</v>
      </c>
      <c r="B1162" s="12" t="s">
        <v>657</v>
      </c>
      <c r="C1162" s="12" t="str">
        <f t="shared" si="48"/>
        <v>142206</v>
      </c>
      <c r="D1162" s="12" t="str">
        <f>"14.142206/2024.00009/BC.O."</f>
        <v>14.142206/2024.00009/BC.O.</v>
      </c>
      <c r="E1162" s="12" t="str">
        <f>"200400029704"</f>
        <v>200400029704</v>
      </c>
      <c r="F1162" s="12" t="str">
        <f>"BANCA/EN TANDEM DE 3 PLAZAS"</f>
        <v>BANCA/EN TANDEM DE 3 PLAZAS</v>
      </c>
      <c r="G1162" s="12" t="s">
        <v>19</v>
      </c>
      <c r="H1162" s="12" t="s">
        <v>20</v>
      </c>
      <c r="I1162" s="12">
        <v>1</v>
      </c>
      <c r="J1162" s="12" t="s">
        <v>21</v>
      </c>
      <c r="K1162" s="12" t="s">
        <v>22</v>
      </c>
      <c r="L1162" s="13">
        <v>30</v>
      </c>
    </row>
    <row r="1163" spans="1:12" ht="18" x14ac:dyDescent="0.25">
      <c r="A1163" s="11">
        <v>1159</v>
      </c>
      <c r="B1163" s="12" t="s">
        <v>658</v>
      </c>
      <c r="C1163" s="12">
        <v>142427</v>
      </c>
      <c r="D1163" s="12" t="s">
        <v>659</v>
      </c>
      <c r="E1163" s="31">
        <v>200880020445</v>
      </c>
      <c r="F1163" s="12" t="s">
        <v>374</v>
      </c>
      <c r="G1163" s="12" t="s">
        <v>19</v>
      </c>
      <c r="H1163" s="12" t="s">
        <v>20</v>
      </c>
      <c r="I1163" s="12">
        <v>1</v>
      </c>
      <c r="J1163" s="12" t="s">
        <v>21</v>
      </c>
      <c r="K1163" s="12" t="s">
        <v>22</v>
      </c>
      <c r="L1163" s="13">
        <v>35</v>
      </c>
    </row>
    <row r="1164" spans="1:12" ht="18" x14ac:dyDescent="0.25">
      <c r="A1164" s="11">
        <v>1160</v>
      </c>
      <c r="B1164" s="12" t="s">
        <v>658</v>
      </c>
      <c r="C1164" s="12">
        <v>142427</v>
      </c>
      <c r="D1164" s="12" t="s">
        <v>660</v>
      </c>
      <c r="E1164" s="31">
        <v>200880020855</v>
      </c>
      <c r="F1164" s="12" t="s">
        <v>374</v>
      </c>
      <c r="G1164" s="12" t="s">
        <v>19</v>
      </c>
      <c r="H1164" s="12" t="s">
        <v>20</v>
      </c>
      <c r="I1164" s="12">
        <v>1</v>
      </c>
      <c r="J1164" s="12" t="s">
        <v>21</v>
      </c>
      <c r="K1164" s="12" t="s">
        <v>22</v>
      </c>
      <c r="L1164" s="13">
        <v>35</v>
      </c>
    </row>
    <row r="1165" spans="1:12" ht="18" x14ac:dyDescent="0.25">
      <c r="A1165" s="11">
        <v>1161</v>
      </c>
      <c r="B1165" s="12" t="s">
        <v>658</v>
      </c>
      <c r="C1165" s="12">
        <v>142427</v>
      </c>
      <c r="D1165" s="12" t="s">
        <v>661</v>
      </c>
      <c r="E1165" s="31">
        <v>201080027620</v>
      </c>
      <c r="F1165" s="12" t="s">
        <v>374</v>
      </c>
      <c r="G1165" s="12" t="s">
        <v>19</v>
      </c>
      <c r="H1165" s="12" t="s">
        <v>20</v>
      </c>
      <c r="I1165" s="12">
        <v>1</v>
      </c>
      <c r="J1165" s="12" t="s">
        <v>21</v>
      </c>
      <c r="K1165" s="12" t="s">
        <v>22</v>
      </c>
      <c r="L1165" s="13">
        <v>35</v>
      </c>
    </row>
    <row r="1166" spans="1:12" ht="18" x14ac:dyDescent="0.25">
      <c r="A1166" s="11">
        <v>1162</v>
      </c>
      <c r="B1166" s="12" t="s">
        <v>658</v>
      </c>
      <c r="C1166" s="12">
        <v>142427</v>
      </c>
      <c r="D1166" s="12" t="s">
        <v>662</v>
      </c>
      <c r="E1166" s="31">
        <v>201080053960</v>
      </c>
      <c r="F1166" s="12" t="s">
        <v>374</v>
      </c>
      <c r="G1166" s="12" t="s">
        <v>19</v>
      </c>
      <c r="H1166" s="12" t="s">
        <v>20</v>
      </c>
      <c r="I1166" s="12">
        <v>1</v>
      </c>
      <c r="J1166" s="12" t="s">
        <v>21</v>
      </c>
      <c r="K1166" s="12" t="s">
        <v>22</v>
      </c>
      <c r="L1166" s="13">
        <v>35</v>
      </c>
    </row>
    <row r="1167" spans="1:12" ht="18" x14ac:dyDescent="0.25">
      <c r="A1167" s="11">
        <v>1163</v>
      </c>
      <c r="B1167" s="12" t="s">
        <v>663</v>
      </c>
      <c r="C1167" s="12" t="str">
        <f t="shared" ref="C1167:C1193" si="49">"142408"</f>
        <v>142408</v>
      </c>
      <c r="D1167" s="12" t="str">
        <f>"14.142408/2024.00015/BC.O."</f>
        <v>14.142408/2024.00015/BC.O.</v>
      </c>
      <c r="E1167" s="12" t="str">
        <f>"1985057567"</f>
        <v>1985057567</v>
      </c>
      <c r="F1167" s="12" t="str">
        <f>"SILLON/DENTAL HIDRAULICO 1985057567"</f>
        <v>SILLON/DENTAL HIDRAULICO 1985057567</v>
      </c>
      <c r="G1167" s="12" t="s">
        <v>19</v>
      </c>
      <c r="H1167" s="12" t="s">
        <v>20</v>
      </c>
      <c r="I1167" s="12">
        <v>1</v>
      </c>
      <c r="J1167" s="12" t="s">
        <v>21</v>
      </c>
      <c r="K1167" s="12" t="s">
        <v>22</v>
      </c>
      <c r="L1167" s="13">
        <v>25</v>
      </c>
    </row>
    <row r="1168" spans="1:12" ht="18" x14ac:dyDescent="0.25">
      <c r="A1168" s="11">
        <v>1164</v>
      </c>
      <c r="B1168" s="12" t="s">
        <v>663</v>
      </c>
      <c r="C1168" s="12" t="str">
        <f t="shared" si="49"/>
        <v>142408</v>
      </c>
      <c r="D1168" s="12" t="str">
        <f>"14.142408/2024.00016/BC.O."</f>
        <v>14.142408/2024.00016/BC.O.</v>
      </c>
      <c r="E1168" s="12" t="str">
        <f>"1985057569"</f>
        <v>1985057569</v>
      </c>
      <c r="F1168" s="12" t="str">
        <f>"SILLON/DENTAL HIDRAULICO 1985057569"</f>
        <v>SILLON/DENTAL HIDRAULICO 1985057569</v>
      </c>
      <c r="G1168" s="12" t="s">
        <v>19</v>
      </c>
      <c r="H1168" s="12" t="s">
        <v>20</v>
      </c>
      <c r="I1168" s="12">
        <v>1</v>
      </c>
      <c r="J1168" s="12" t="s">
        <v>21</v>
      </c>
      <c r="K1168" s="12" t="s">
        <v>22</v>
      </c>
      <c r="L1168" s="13">
        <v>25</v>
      </c>
    </row>
    <row r="1169" spans="1:12" ht="18" x14ac:dyDescent="0.25">
      <c r="A1169" s="11">
        <v>1165</v>
      </c>
      <c r="B1169" s="12" t="s">
        <v>663</v>
      </c>
      <c r="C1169" s="12" t="str">
        <f t="shared" si="49"/>
        <v>142408</v>
      </c>
      <c r="D1169" s="12" t="str">
        <f>"14.142408/2024.00014/BC.O."</f>
        <v>14.142408/2024.00014/BC.O.</v>
      </c>
      <c r="E1169" s="12" t="str">
        <f>"1998016122"</f>
        <v>1998016122</v>
      </c>
      <c r="F1169" s="12" t="str">
        <f>"UNIDAD/ESTOMATOLOGICA 1998016122"</f>
        <v>UNIDAD/ESTOMATOLOGICA 1998016122</v>
      </c>
      <c r="G1169" s="12" t="s">
        <v>19</v>
      </c>
      <c r="H1169" s="12" t="s">
        <v>20</v>
      </c>
      <c r="I1169" s="12">
        <v>1</v>
      </c>
      <c r="J1169" s="12" t="s">
        <v>21</v>
      </c>
      <c r="K1169" s="12" t="s">
        <v>22</v>
      </c>
      <c r="L1169" s="13">
        <v>50</v>
      </c>
    </row>
    <row r="1170" spans="1:12" ht="27" x14ac:dyDescent="0.25">
      <c r="A1170" s="11">
        <v>1166</v>
      </c>
      <c r="B1170" s="12" t="s">
        <v>663</v>
      </c>
      <c r="C1170" s="12" t="str">
        <f t="shared" si="49"/>
        <v>142408</v>
      </c>
      <c r="D1170" s="12" t="str">
        <f>"14.142408/2024.00022/BC.O."</f>
        <v>14.142408/2024.00022/BC.O.</v>
      </c>
      <c r="E1170" s="12" t="str">
        <f>"1999000491"</f>
        <v>1999000491</v>
      </c>
      <c r="F1170" s="12" t="str">
        <f>"UNIDAD DE SUCCION/CONTINUA PORTATIL 1999000491"</f>
        <v>UNIDAD DE SUCCION/CONTINUA PORTATIL 1999000491</v>
      </c>
      <c r="G1170" s="12" t="s">
        <v>19</v>
      </c>
      <c r="H1170" s="12" t="s">
        <v>20</v>
      </c>
      <c r="I1170" s="12">
        <v>1</v>
      </c>
      <c r="J1170" s="12" t="s">
        <v>21</v>
      </c>
      <c r="K1170" s="12" t="s">
        <v>22</v>
      </c>
      <c r="L1170" s="13">
        <v>50</v>
      </c>
    </row>
    <row r="1171" spans="1:12" ht="18" x14ac:dyDescent="0.25">
      <c r="A1171" s="11">
        <v>1167</v>
      </c>
      <c r="B1171" s="12" t="s">
        <v>663</v>
      </c>
      <c r="C1171" s="12" t="str">
        <f t="shared" si="49"/>
        <v>142408</v>
      </c>
      <c r="D1171" s="12" t="str">
        <f>"14.142408/2024.00013/BC.O."</f>
        <v>14.142408/2024.00013/BC.O.</v>
      </c>
      <c r="E1171" s="12" t="str">
        <f>"1999002903"</f>
        <v>1999002903</v>
      </c>
      <c r="F1171" s="12" t="str">
        <f>"UNIDAD/ESTOMATOLOGICA 1999002903"</f>
        <v>UNIDAD/ESTOMATOLOGICA 1999002903</v>
      </c>
      <c r="G1171" s="12" t="s">
        <v>19</v>
      </c>
      <c r="H1171" s="12" t="s">
        <v>20</v>
      </c>
      <c r="I1171" s="12">
        <v>1</v>
      </c>
      <c r="J1171" s="12" t="s">
        <v>21</v>
      </c>
      <c r="K1171" s="12" t="s">
        <v>22</v>
      </c>
      <c r="L1171" s="13">
        <v>50</v>
      </c>
    </row>
    <row r="1172" spans="1:12" ht="18" x14ac:dyDescent="0.25">
      <c r="A1172" s="11">
        <v>1168</v>
      </c>
      <c r="B1172" s="12" t="s">
        <v>663</v>
      </c>
      <c r="C1172" s="12" t="str">
        <f t="shared" si="49"/>
        <v>142408</v>
      </c>
      <c r="D1172" s="12" t="str">
        <f>"14.142408/2024.00023/BC.O."</f>
        <v>14.142408/2024.00023/BC.O.</v>
      </c>
      <c r="E1172" s="12" t="str">
        <f>"2002910585"</f>
        <v>2002910585</v>
      </c>
      <c r="F1172" s="12" t="str">
        <f>"PLANTOSCOPIO/ELECTRICO 2002910585"</f>
        <v>PLANTOSCOPIO/ELECTRICO 2002910585</v>
      </c>
      <c r="G1172" s="12" t="s">
        <v>19</v>
      </c>
      <c r="H1172" s="12" t="s">
        <v>20</v>
      </c>
      <c r="I1172" s="12">
        <v>1</v>
      </c>
      <c r="J1172" s="12" t="s">
        <v>21</v>
      </c>
      <c r="K1172" s="12" t="s">
        <v>22</v>
      </c>
      <c r="L1172" s="13">
        <v>50</v>
      </c>
    </row>
    <row r="1173" spans="1:12" ht="18" x14ac:dyDescent="0.25">
      <c r="A1173" s="11">
        <v>1169</v>
      </c>
      <c r="B1173" s="12" t="s">
        <v>663</v>
      </c>
      <c r="C1173" s="12" t="str">
        <f t="shared" si="49"/>
        <v>142408</v>
      </c>
      <c r="D1173" s="12" t="str">
        <f>"14.142408/2024.00020/BC.O."</f>
        <v>14.142408/2024.00020/BC.O.</v>
      </c>
      <c r="E1173" s="12" t="str">
        <f>"200400032499"</f>
        <v>200400032499</v>
      </c>
      <c r="F1173" s="12" t="str">
        <f>"SILLON/METALICO PARA TRES PLAZAS 200400032499"</f>
        <v>SILLON/METALICO PARA TRES PLAZAS 200400032499</v>
      </c>
      <c r="G1173" s="12" t="s">
        <v>19</v>
      </c>
      <c r="H1173" s="12" t="s">
        <v>20</v>
      </c>
      <c r="I1173" s="12">
        <v>1</v>
      </c>
      <c r="J1173" s="12" t="s">
        <v>21</v>
      </c>
      <c r="K1173" s="12" t="s">
        <v>22</v>
      </c>
      <c r="L1173" s="13">
        <v>25</v>
      </c>
    </row>
    <row r="1174" spans="1:12" ht="18" x14ac:dyDescent="0.25">
      <c r="A1174" s="11">
        <v>1170</v>
      </c>
      <c r="B1174" s="12" t="s">
        <v>663</v>
      </c>
      <c r="C1174" s="12" t="str">
        <f t="shared" si="49"/>
        <v>142408</v>
      </c>
      <c r="D1174" s="12" t="str">
        <f>"14.142408/2024.00019/BC.O."</f>
        <v>14.142408/2024.00019/BC.O.</v>
      </c>
      <c r="E1174" s="12" t="str">
        <f>"200880010711"</f>
        <v>200880010711</v>
      </c>
      <c r="F1174" s="12" t="str">
        <f>"CONGELADOR/PARA LABORATORIO 200880010711"</f>
        <v>CONGELADOR/PARA LABORATORIO 200880010711</v>
      </c>
      <c r="G1174" s="12" t="s">
        <v>19</v>
      </c>
      <c r="H1174" s="12" t="s">
        <v>20</v>
      </c>
      <c r="I1174" s="12">
        <v>1</v>
      </c>
      <c r="J1174" s="12" t="s">
        <v>21</v>
      </c>
      <c r="K1174" s="12" t="s">
        <v>22</v>
      </c>
      <c r="L1174" s="13">
        <v>100</v>
      </c>
    </row>
    <row r="1175" spans="1:12" ht="18" x14ac:dyDescent="0.25">
      <c r="A1175" s="11">
        <v>1171</v>
      </c>
      <c r="B1175" s="12" t="s">
        <v>663</v>
      </c>
      <c r="C1175" s="12" t="str">
        <f t="shared" si="49"/>
        <v>142408</v>
      </c>
      <c r="D1175" s="12" t="str">
        <f>"14.142408/2024.00001/BC.O."</f>
        <v>14.142408/2024.00001/BC.O.</v>
      </c>
      <c r="E1175" s="12" t="str">
        <f>"200980010168"</f>
        <v>200980010168</v>
      </c>
      <c r="F1175" s="12" t="str">
        <f>"ESTUCHE/DE DIAGNOSTICO 200980010168"</f>
        <v>ESTUCHE/DE DIAGNOSTICO 200980010168</v>
      </c>
      <c r="G1175" s="12" t="s">
        <v>19</v>
      </c>
      <c r="H1175" s="12" t="s">
        <v>20</v>
      </c>
      <c r="I1175" s="12">
        <v>1</v>
      </c>
      <c r="J1175" s="12" t="s">
        <v>21</v>
      </c>
      <c r="K1175" s="12" t="s">
        <v>22</v>
      </c>
      <c r="L1175" s="13">
        <v>50</v>
      </c>
    </row>
    <row r="1176" spans="1:12" ht="18" x14ac:dyDescent="0.25">
      <c r="A1176" s="11">
        <v>1172</v>
      </c>
      <c r="B1176" s="12" t="s">
        <v>663</v>
      </c>
      <c r="C1176" s="12" t="str">
        <f t="shared" si="49"/>
        <v>142408</v>
      </c>
      <c r="D1176" s="12" t="str">
        <f>"14.142408/2024.00002/BC.O."</f>
        <v>14.142408/2024.00002/BC.O.</v>
      </c>
      <c r="E1176" s="12" t="str">
        <f>"200980010175"</f>
        <v>200980010175</v>
      </c>
      <c r="F1176" s="12" t="str">
        <f>"ESTUCHE/DE DIAGNOSTICO 200980010175"</f>
        <v>ESTUCHE/DE DIAGNOSTICO 200980010175</v>
      </c>
      <c r="G1176" s="12" t="s">
        <v>19</v>
      </c>
      <c r="H1176" s="12" t="s">
        <v>20</v>
      </c>
      <c r="I1176" s="12">
        <v>1</v>
      </c>
      <c r="J1176" s="12" t="s">
        <v>21</v>
      </c>
      <c r="K1176" s="12" t="s">
        <v>22</v>
      </c>
      <c r="L1176" s="13">
        <v>50</v>
      </c>
    </row>
    <row r="1177" spans="1:12" ht="18" x14ac:dyDescent="0.25">
      <c r="A1177" s="11">
        <v>1173</v>
      </c>
      <c r="B1177" s="12" t="s">
        <v>663</v>
      </c>
      <c r="C1177" s="12" t="str">
        <f t="shared" si="49"/>
        <v>142408</v>
      </c>
      <c r="D1177" s="12" t="str">
        <f>"14.142408/2024.00003/BC.O."</f>
        <v>14.142408/2024.00003/BC.O.</v>
      </c>
      <c r="E1177" s="12" t="str">
        <f>"200980010178"</f>
        <v>200980010178</v>
      </c>
      <c r="F1177" s="12" t="str">
        <f>"ESTUCHE/DE DIAGNOSTICO 200980010178"</f>
        <v>ESTUCHE/DE DIAGNOSTICO 200980010178</v>
      </c>
      <c r="G1177" s="12" t="s">
        <v>19</v>
      </c>
      <c r="H1177" s="12" t="s">
        <v>20</v>
      </c>
      <c r="I1177" s="12">
        <v>1</v>
      </c>
      <c r="J1177" s="12" t="s">
        <v>21</v>
      </c>
      <c r="K1177" s="12" t="s">
        <v>22</v>
      </c>
      <c r="L1177" s="13">
        <v>50</v>
      </c>
    </row>
    <row r="1178" spans="1:12" ht="18" x14ac:dyDescent="0.25">
      <c r="A1178" s="11">
        <v>1174</v>
      </c>
      <c r="B1178" s="12" t="s">
        <v>663</v>
      </c>
      <c r="C1178" s="12" t="str">
        <f t="shared" si="49"/>
        <v>142408</v>
      </c>
      <c r="D1178" s="12" t="str">
        <f>"14.142408/2024.00004/BC.O."</f>
        <v>14.142408/2024.00004/BC.O.</v>
      </c>
      <c r="E1178" s="12" t="str">
        <f>"200980010190"</f>
        <v>200980010190</v>
      </c>
      <c r="F1178" s="12" t="str">
        <f>"ESTUCHE/DE DIAGNOSTICO 200980010190"</f>
        <v>ESTUCHE/DE DIAGNOSTICO 200980010190</v>
      </c>
      <c r="G1178" s="12" t="s">
        <v>19</v>
      </c>
      <c r="H1178" s="12" t="s">
        <v>20</v>
      </c>
      <c r="I1178" s="12">
        <v>1</v>
      </c>
      <c r="J1178" s="12" t="s">
        <v>21</v>
      </c>
      <c r="K1178" s="12" t="s">
        <v>22</v>
      </c>
      <c r="L1178" s="13">
        <v>50</v>
      </c>
    </row>
    <row r="1179" spans="1:12" ht="18" x14ac:dyDescent="0.25">
      <c r="A1179" s="11">
        <v>1175</v>
      </c>
      <c r="B1179" s="12" t="s">
        <v>663</v>
      </c>
      <c r="C1179" s="12" t="str">
        <f t="shared" si="49"/>
        <v>142408</v>
      </c>
      <c r="D1179" s="12" t="str">
        <f>"14.142408/2024.00005/BC.O."</f>
        <v>14.142408/2024.00005/BC.O.</v>
      </c>
      <c r="E1179" s="12" t="str">
        <f>"201300010800"</f>
        <v>201300010800</v>
      </c>
      <c r="F1179" s="12" t="str">
        <f>"ESTUCHE/DE DIAGNOSTICO 201300010800"</f>
        <v>ESTUCHE/DE DIAGNOSTICO 201300010800</v>
      </c>
      <c r="G1179" s="12" t="s">
        <v>19</v>
      </c>
      <c r="H1179" s="12" t="s">
        <v>20</v>
      </c>
      <c r="I1179" s="12">
        <v>1</v>
      </c>
      <c r="J1179" s="12" t="s">
        <v>21</v>
      </c>
      <c r="K1179" s="12" t="s">
        <v>22</v>
      </c>
      <c r="L1179" s="13">
        <v>50</v>
      </c>
    </row>
    <row r="1180" spans="1:12" ht="18" x14ac:dyDescent="0.25">
      <c r="A1180" s="11">
        <v>1176</v>
      </c>
      <c r="B1180" s="12" t="s">
        <v>663</v>
      </c>
      <c r="C1180" s="12" t="str">
        <f t="shared" si="49"/>
        <v>142408</v>
      </c>
      <c r="D1180" s="12" t="str">
        <f>"14.142408/2024.00006/BC.O."</f>
        <v>14.142408/2024.00006/BC.O.</v>
      </c>
      <c r="E1180" s="12" t="str">
        <f>"201300010806"</f>
        <v>201300010806</v>
      </c>
      <c r="F1180" s="12" t="str">
        <f>"ESTUCHE/DE DIAGNOSTICO 201300010806"</f>
        <v>ESTUCHE/DE DIAGNOSTICO 201300010806</v>
      </c>
      <c r="G1180" s="12" t="s">
        <v>19</v>
      </c>
      <c r="H1180" s="12" t="s">
        <v>20</v>
      </c>
      <c r="I1180" s="12">
        <v>1</v>
      </c>
      <c r="J1180" s="12" t="s">
        <v>21</v>
      </c>
      <c r="K1180" s="12" t="s">
        <v>22</v>
      </c>
      <c r="L1180" s="13">
        <v>50</v>
      </c>
    </row>
    <row r="1181" spans="1:12" ht="18" x14ac:dyDescent="0.25">
      <c r="A1181" s="11">
        <v>1177</v>
      </c>
      <c r="B1181" s="12" t="s">
        <v>663</v>
      </c>
      <c r="C1181" s="12" t="str">
        <f t="shared" si="49"/>
        <v>142408</v>
      </c>
      <c r="D1181" s="12" t="str">
        <f>"14.142408/2024.00007/BC.O."</f>
        <v>14.142408/2024.00007/BC.O.</v>
      </c>
      <c r="E1181" s="12" t="str">
        <f>"201300010807"</f>
        <v>201300010807</v>
      </c>
      <c r="F1181" s="12" t="str">
        <f>"ESTUCHE/DE DIAGNOSTICO 201300010807"</f>
        <v>ESTUCHE/DE DIAGNOSTICO 201300010807</v>
      </c>
      <c r="G1181" s="12" t="s">
        <v>19</v>
      </c>
      <c r="H1181" s="12" t="s">
        <v>20</v>
      </c>
      <c r="I1181" s="12">
        <v>1</v>
      </c>
      <c r="J1181" s="12" t="s">
        <v>21</v>
      </c>
      <c r="K1181" s="12" t="s">
        <v>22</v>
      </c>
      <c r="L1181" s="13">
        <v>50</v>
      </c>
    </row>
    <row r="1182" spans="1:12" ht="18" x14ac:dyDescent="0.25">
      <c r="A1182" s="11">
        <v>1178</v>
      </c>
      <c r="B1182" s="12" t="s">
        <v>663</v>
      </c>
      <c r="C1182" s="12" t="str">
        <f t="shared" si="49"/>
        <v>142408</v>
      </c>
      <c r="D1182" s="12" t="str">
        <f>"14.142408/2024.00008/BC.O."</f>
        <v>14.142408/2024.00008/BC.O.</v>
      </c>
      <c r="E1182" s="12" t="str">
        <f>"201300010809"</f>
        <v>201300010809</v>
      </c>
      <c r="F1182" s="12" t="str">
        <f>"ESTUCHE/DE DIAGNOSTICO 201300010809"</f>
        <v>ESTUCHE/DE DIAGNOSTICO 201300010809</v>
      </c>
      <c r="G1182" s="12" t="s">
        <v>19</v>
      </c>
      <c r="H1182" s="12" t="s">
        <v>20</v>
      </c>
      <c r="I1182" s="12">
        <v>1</v>
      </c>
      <c r="J1182" s="12" t="s">
        <v>21</v>
      </c>
      <c r="K1182" s="12" t="s">
        <v>22</v>
      </c>
      <c r="L1182" s="13">
        <v>50</v>
      </c>
    </row>
    <row r="1183" spans="1:12" ht="18" x14ac:dyDescent="0.25">
      <c r="A1183" s="11">
        <v>1179</v>
      </c>
      <c r="B1183" s="12" t="s">
        <v>663</v>
      </c>
      <c r="C1183" s="12" t="str">
        <f t="shared" si="49"/>
        <v>142408</v>
      </c>
      <c r="D1183" s="12" t="str">
        <f>"14.142408/2024.00024/BC.O."</f>
        <v>14.142408/2024.00024/BC.O.</v>
      </c>
      <c r="E1183" s="12" t="str">
        <f>"201700001736"</f>
        <v>201700001736</v>
      </c>
      <c r="F1183" s="12" t="str">
        <f>"LAMPARA/DE FIBRA OPTICA 201700001736"</f>
        <v>LAMPARA/DE FIBRA OPTICA 201700001736</v>
      </c>
      <c r="G1183" s="12" t="s">
        <v>19</v>
      </c>
      <c r="H1183" s="12" t="s">
        <v>20</v>
      </c>
      <c r="I1183" s="12">
        <v>1</v>
      </c>
      <c r="J1183" s="12" t="s">
        <v>21</v>
      </c>
      <c r="K1183" s="12" t="s">
        <v>22</v>
      </c>
      <c r="L1183" s="13">
        <v>35</v>
      </c>
    </row>
    <row r="1184" spans="1:12" ht="18" x14ac:dyDescent="0.25">
      <c r="A1184" s="11">
        <v>1180</v>
      </c>
      <c r="B1184" s="12" t="s">
        <v>663</v>
      </c>
      <c r="C1184" s="12" t="str">
        <f t="shared" si="49"/>
        <v>142408</v>
      </c>
      <c r="D1184" s="12" t="str">
        <f>"14.142408/2024.00026/BC.O."</f>
        <v>14.142408/2024.00026/BC.O.</v>
      </c>
      <c r="E1184" s="12" t="str">
        <f>"201700001737"</f>
        <v>201700001737</v>
      </c>
      <c r="F1184" s="12" t="str">
        <f>"LAMPARA/DE FIBRA OPTICA 201700001737"</f>
        <v>LAMPARA/DE FIBRA OPTICA 201700001737</v>
      </c>
      <c r="G1184" s="12" t="s">
        <v>19</v>
      </c>
      <c r="H1184" s="12" t="s">
        <v>20</v>
      </c>
      <c r="I1184" s="12">
        <v>1</v>
      </c>
      <c r="J1184" s="12" t="s">
        <v>21</v>
      </c>
      <c r="K1184" s="12" t="s">
        <v>22</v>
      </c>
      <c r="L1184" s="13">
        <v>35</v>
      </c>
    </row>
    <row r="1185" spans="1:12" ht="18" x14ac:dyDescent="0.25">
      <c r="A1185" s="11">
        <v>1181</v>
      </c>
      <c r="B1185" s="12" t="s">
        <v>663</v>
      </c>
      <c r="C1185" s="12" t="str">
        <f t="shared" si="49"/>
        <v>142408</v>
      </c>
      <c r="D1185" s="12" t="str">
        <f>"14.142408/2024.00027/BC.O."</f>
        <v>14.142408/2024.00027/BC.O.</v>
      </c>
      <c r="E1185" s="12" t="str">
        <f>"201700001742"</f>
        <v>201700001742</v>
      </c>
      <c r="F1185" s="12" t="str">
        <f>"LAMPARA/DE FIBRA OPTICA 201700001742"</f>
        <v>LAMPARA/DE FIBRA OPTICA 201700001742</v>
      </c>
      <c r="G1185" s="12" t="s">
        <v>19</v>
      </c>
      <c r="H1185" s="12" t="s">
        <v>20</v>
      </c>
      <c r="I1185" s="12">
        <v>1</v>
      </c>
      <c r="J1185" s="12" t="s">
        <v>21</v>
      </c>
      <c r="K1185" s="12" t="s">
        <v>22</v>
      </c>
      <c r="L1185" s="13">
        <v>35</v>
      </c>
    </row>
    <row r="1186" spans="1:12" ht="18" x14ac:dyDescent="0.25">
      <c r="A1186" s="11">
        <v>1182</v>
      </c>
      <c r="B1186" s="12" t="s">
        <v>663</v>
      </c>
      <c r="C1186" s="12" t="str">
        <f t="shared" si="49"/>
        <v>142408</v>
      </c>
      <c r="D1186" s="12" t="str">
        <f>"14.142408/2024.00025/BC.O."</f>
        <v>14.142408/2024.00025/BC.O.</v>
      </c>
      <c r="E1186" s="12" t="str">
        <f>"201700001744"</f>
        <v>201700001744</v>
      </c>
      <c r="F1186" s="12" t="str">
        <f>"LAMPARA/DE FIBRA OPTICA 201700001744"</f>
        <v>LAMPARA/DE FIBRA OPTICA 201700001744</v>
      </c>
      <c r="G1186" s="12" t="s">
        <v>19</v>
      </c>
      <c r="H1186" s="12" t="s">
        <v>20</v>
      </c>
      <c r="I1186" s="12">
        <v>1</v>
      </c>
      <c r="J1186" s="12" t="s">
        <v>21</v>
      </c>
      <c r="K1186" s="12" t="s">
        <v>22</v>
      </c>
      <c r="L1186" s="13">
        <v>35</v>
      </c>
    </row>
    <row r="1187" spans="1:12" ht="18" x14ac:dyDescent="0.25">
      <c r="A1187" s="11">
        <v>1183</v>
      </c>
      <c r="B1187" s="12" t="s">
        <v>663</v>
      </c>
      <c r="C1187" s="12" t="str">
        <f t="shared" si="49"/>
        <v>142408</v>
      </c>
      <c r="D1187" s="12" t="str">
        <f>"14.142408/2024.00017/BC.O."</f>
        <v>14.142408/2024.00017/BC.O.</v>
      </c>
      <c r="E1187" s="12" t="str">
        <f>"201700011884"</f>
        <v>201700011884</v>
      </c>
      <c r="F1187" s="12" t="str">
        <f>"MOBILIARIO DE ADMINISTRACIÓN 201700011884"</f>
        <v>MOBILIARIO DE ADMINISTRACIÓN 201700011884</v>
      </c>
      <c r="G1187" s="12" t="s">
        <v>19</v>
      </c>
      <c r="H1187" s="12" t="s">
        <v>20</v>
      </c>
      <c r="I1187" s="12">
        <v>1</v>
      </c>
      <c r="J1187" s="12" t="s">
        <v>21</v>
      </c>
      <c r="K1187" s="12" t="s">
        <v>22</v>
      </c>
      <c r="L1187" s="13">
        <v>50</v>
      </c>
    </row>
    <row r="1188" spans="1:12" ht="18" x14ac:dyDescent="0.25">
      <c r="A1188" s="11">
        <v>1184</v>
      </c>
      <c r="B1188" s="12" t="s">
        <v>663</v>
      </c>
      <c r="C1188" s="12" t="str">
        <f t="shared" si="49"/>
        <v>142408</v>
      </c>
      <c r="D1188" s="12" t="str">
        <f>"14.142408/2024.00018/BC.O."</f>
        <v>14.142408/2024.00018/BC.O.</v>
      </c>
      <c r="E1188" s="12" t="str">
        <f>"201700012273"</f>
        <v>201700012273</v>
      </c>
      <c r="F1188" s="12" t="str">
        <f>"MOBILIARIO DE ADMINISTRACIÓN 201700012273"</f>
        <v>MOBILIARIO DE ADMINISTRACIÓN 201700012273</v>
      </c>
      <c r="G1188" s="12" t="s">
        <v>19</v>
      </c>
      <c r="H1188" s="12" t="s">
        <v>20</v>
      </c>
      <c r="I1188" s="12">
        <v>1</v>
      </c>
      <c r="J1188" s="12" t="s">
        <v>21</v>
      </c>
      <c r="K1188" s="12" t="s">
        <v>22</v>
      </c>
      <c r="L1188" s="13">
        <v>50</v>
      </c>
    </row>
    <row r="1189" spans="1:12" ht="18" x14ac:dyDescent="0.25">
      <c r="A1189" s="11">
        <v>1185</v>
      </c>
      <c r="B1189" s="12" t="s">
        <v>663</v>
      </c>
      <c r="C1189" s="12" t="str">
        <f t="shared" si="49"/>
        <v>142408</v>
      </c>
      <c r="D1189" s="12" t="str">
        <f>"14.142408/2024.00021/BC.O."</f>
        <v>14.142408/2024.00021/BC.O.</v>
      </c>
      <c r="E1189" s="12" t="str">
        <f>"201700016965"</f>
        <v>201700016965</v>
      </c>
      <c r="F1189" s="12" t="str">
        <f>"MOBILIARIO MEDICO 201700016965"</f>
        <v>MOBILIARIO MEDICO 201700016965</v>
      </c>
      <c r="G1189" s="12" t="s">
        <v>19</v>
      </c>
      <c r="H1189" s="12" t="s">
        <v>20</v>
      </c>
      <c r="I1189" s="12">
        <v>1</v>
      </c>
      <c r="J1189" s="12" t="s">
        <v>21</v>
      </c>
      <c r="K1189" s="12" t="s">
        <v>22</v>
      </c>
      <c r="L1189" s="13">
        <v>50</v>
      </c>
    </row>
    <row r="1190" spans="1:12" ht="18" x14ac:dyDescent="0.25">
      <c r="A1190" s="11">
        <v>1186</v>
      </c>
      <c r="B1190" s="12" t="s">
        <v>663</v>
      </c>
      <c r="C1190" s="12" t="str">
        <f t="shared" si="49"/>
        <v>142408</v>
      </c>
      <c r="D1190" s="12" t="str">
        <f>"14.142408/2024.00009/BC.O."</f>
        <v>14.142408/2024.00009/BC.O.</v>
      </c>
      <c r="E1190" s="12" t="str">
        <f>"202080020917"</f>
        <v>202080020917</v>
      </c>
      <c r="F1190" s="12" t="str">
        <f>"MOBILIARIO MEDICO"</f>
        <v>MOBILIARIO MEDICO</v>
      </c>
      <c r="G1190" s="12" t="s">
        <v>19</v>
      </c>
      <c r="H1190" s="12" t="s">
        <v>20</v>
      </c>
      <c r="I1190" s="12">
        <v>1</v>
      </c>
      <c r="J1190" s="12" t="s">
        <v>21</v>
      </c>
      <c r="K1190" s="12" t="s">
        <v>22</v>
      </c>
      <c r="L1190" s="13">
        <v>50</v>
      </c>
    </row>
    <row r="1191" spans="1:12" ht="18" x14ac:dyDescent="0.25">
      <c r="A1191" s="11">
        <v>1187</v>
      </c>
      <c r="B1191" s="12" t="s">
        <v>663</v>
      </c>
      <c r="C1191" s="12" t="str">
        <f t="shared" si="49"/>
        <v>142408</v>
      </c>
      <c r="D1191" s="12" t="str">
        <f>"14.142408/2024.00010/BC.O."</f>
        <v>14.142408/2024.00010/BC.O.</v>
      </c>
      <c r="E1191" s="12" t="str">
        <f>"202080020919"</f>
        <v>202080020919</v>
      </c>
      <c r="F1191" s="12" t="str">
        <f>"MOBILIARIO MEDICO 202080020919"</f>
        <v>MOBILIARIO MEDICO 202080020919</v>
      </c>
      <c r="G1191" s="12" t="s">
        <v>19</v>
      </c>
      <c r="H1191" s="12" t="s">
        <v>20</v>
      </c>
      <c r="I1191" s="12">
        <v>1</v>
      </c>
      <c r="J1191" s="12" t="s">
        <v>21</v>
      </c>
      <c r="K1191" s="12" t="s">
        <v>22</v>
      </c>
      <c r="L1191" s="13">
        <v>50</v>
      </c>
    </row>
    <row r="1192" spans="1:12" ht="18" x14ac:dyDescent="0.25">
      <c r="A1192" s="11">
        <v>1188</v>
      </c>
      <c r="B1192" s="12" t="s">
        <v>663</v>
      </c>
      <c r="C1192" s="12" t="str">
        <f t="shared" si="49"/>
        <v>142408</v>
      </c>
      <c r="D1192" s="12" t="str">
        <f>"14.142408/2024.00011/BC.O."</f>
        <v>14.142408/2024.00011/BC.O.</v>
      </c>
      <c r="E1192" s="12" t="str">
        <f>"202080020920"</f>
        <v>202080020920</v>
      </c>
      <c r="F1192" s="12" t="str">
        <f>"MOBILIARIO MEDICO 202080020920"</f>
        <v>MOBILIARIO MEDICO 202080020920</v>
      </c>
      <c r="G1192" s="12" t="s">
        <v>19</v>
      </c>
      <c r="H1192" s="12" t="s">
        <v>20</v>
      </c>
      <c r="I1192" s="12">
        <v>1</v>
      </c>
      <c r="J1192" s="12" t="s">
        <v>21</v>
      </c>
      <c r="K1192" s="12" t="s">
        <v>22</v>
      </c>
      <c r="L1192" s="13">
        <v>50</v>
      </c>
    </row>
    <row r="1193" spans="1:12" ht="18" x14ac:dyDescent="0.25">
      <c r="A1193" s="11">
        <v>1189</v>
      </c>
      <c r="B1193" s="12" t="s">
        <v>663</v>
      </c>
      <c r="C1193" s="12" t="str">
        <f t="shared" si="49"/>
        <v>142408</v>
      </c>
      <c r="D1193" s="12" t="str">
        <f>"14.142408/2024.00012/BC.O."</f>
        <v>14.142408/2024.00012/BC.O.</v>
      </c>
      <c r="E1193" s="12" t="str">
        <f>"202080020949"</f>
        <v>202080020949</v>
      </c>
      <c r="F1193" s="12" t="str">
        <f>"MOBILIARIO MEDICO 202080020949"</f>
        <v>MOBILIARIO MEDICO 202080020949</v>
      </c>
      <c r="G1193" s="12" t="s">
        <v>19</v>
      </c>
      <c r="H1193" s="12" t="s">
        <v>20</v>
      </c>
      <c r="I1193" s="12">
        <v>1</v>
      </c>
      <c r="J1193" s="12" t="s">
        <v>21</v>
      </c>
      <c r="K1193" s="12" t="s">
        <v>22</v>
      </c>
      <c r="L1193" s="13">
        <v>50</v>
      </c>
    </row>
    <row r="1194" spans="1:12" ht="18" x14ac:dyDescent="0.25">
      <c r="A1194" s="11">
        <v>1190</v>
      </c>
      <c r="B1194" s="12" t="s">
        <v>664</v>
      </c>
      <c r="C1194" s="12" t="str">
        <f>"142439"</f>
        <v>142439</v>
      </c>
      <c r="D1194" s="12" t="str">
        <f>"14.142439/2024.00025/BC.I."</f>
        <v>14.142439/2024.00025/BC.I.</v>
      </c>
      <c r="E1194" s="12" t="str">
        <f>"200880020782"</f>
        <v>200880020782</v>
      </c>
      <c r="F1194" s="12" t="str">
        <f>"COMPUTADORA/MICROCOMPUTADORA"</f>
        <v>COMPUTADORA/MICROCOMPUTADORA</v>
      </c>
      <c r="G1194" s="12" t="s">
        <v>19</v>
      </c>
      <c r="H1194" s="12" t="s">
        <v>20</v>
      </c>
      <c r="I1194" s="12">
        <v>1</v>
      </c>
      <c r="J1194" s="12" t="s">
        <v>21</v>
      </c>
      <c r="K1194" s="12" t="s">
        <v>22</v>
      </c>
      <c r="L1194" s="13">
        <v>35</v>
      </c>
    </row>
    <row r="1195" spans="1:12" ht="18" x14ac:dyDescent="0.25">
      <c r="A1195" s="11">
        <v>1191</v>
      </c>
      <c r="B1195" s="12" t="s">
        <v>664</v>
      </c>
      <c r="C1195" s="12" t="str">
        <f>"142439"</f>
        <v>142439</v>
      </c>
      <c r="D1195" s="12" t="str">
        <f>"14.142439/2024.00026/BC.I."</f>
        <v>14.142439/2024.00026/BC.I.</v>
      </c>
      <c r="E1195" s="12" t="str">
        <f>"200880021102"</f>
        <v>200880021102</v>
      </c>
      <c r="F1195" s="12" t="str">
        <f>"COMPUTADORA/MICROCOMPUTADORA"</f>
        <v>COMPUTADORA/MICROCOMPUTADORA</v>
      </c>
      <c r="G1195" s="12" t="s">
        <v>19</v>
      </c>
      <c r="H1195" s="12" t="s">
        <v>20</v>
      </c>
      <c r="I1195" s="12">
        <v>1</v>
      </c>
      <c r="J1195" s="12" t="s">
        <v>21</v>
      </c>
      <c r="K1195" s="12" t="s">
        <v>22</v>
      </c>
      <c r="L1195" s="13">
        <v>35</v>
      </c>
    </row>
    <row r="1196" spans="1:12" ht="18" x14ac:dyDescent="0.25">
      <c r="A1196" s="11">
        <v>1192</v>
      </c>
      <c r="B1196" s="12" t="s">
        <v>664</v>
      </c>
      <c r="C1196" s="12" t="str">
        <f>"142439"</f>
        <v>142439</v>
      </c>
      <c r="D1196" s="12" t="str">
        <f>"14.142439/2024.00027/BC.I."</f>
        <v>14.142439/2024.00027/BC.I.</v>
      </c>
      <c r="E1196" s="12" t="str">
        <f>"201080053834"</f>
        <v>201080053834</v>
      </c>
      <c r="F1196" s="12" t="str">
        <f>"COMPUTADORA/MICROCOMPUTADORA"</f>
        <v>COMPUTADORA/MICROCOMPUTADORA</v>
      </c>
      <c r="G1196" s="12" t="s">
        <v>19</v>
      </c>
      <c r="H1196" s="12" t="s">
        <v>20</v>
      </c>
      <c r="I1196" s="12">
        <v>1</v>
      </c>
      <c r="J1196" s="12" t="s">
        <v>21</v>
      </c>
      <c r="K1196" s="12" t="s">
        <v>22</v>
      </c>
      <c r="L1196" s="13">
        <v>35</v>
      </c>
    </row>
    <row r="1197" spans="1:12" ht="18" x14ac:dyDescent="0.25">
      <c r="A1197" s="11">
        <v>1193</v>
      </c>
      <c r="B1197" s="12" t="s">
        <v>665</v>
      </c>
      <c r="C1197" s="12" t="str">
        <f t="shared" ref="C1197:C1207" si="50">"142435"</f>
        <v>142435</v>
      </c>
      <c r="D1197" s="12" t="str">
        <f>"14.142435/2024.00002/BC.I."</f>
        <v>14.142435/2024.00002/BC.I.</v>
      </c>
      <c r="E1197" s="12" t="str">
        <f>"200480004206"</f>
        <v>200480004206</v>
      </c>
      <c r="F1197" s="12" t="str">
        <f>"IMPRESORA/LASER PARA COMPUTACION"</f>
        <v>IMPRESORA/LASER PARA COMPUTACION</v>
      </c>
      <c r="G1197" s="12" t="s">
        <v>19</v>
      </c>
      <c r="H1197" s="12" t="s">
        <v>20</v>
      </c>
      <c r="I1197" s="12">
        <v>1</v>
      </c>
      <c r="J1197" s="12" t="s">
        <v>21</v>
      </c>
      <c r="K1197" s="12" t="s">
        <v>22</v>
      </c>
      <c r="L1197" s="13">
        <v>30</v>
      </c>
    </row>
    <row r="1198" spans="1:12" ht="18" x14ac:dyDescent="0.25">
      <c r="A1198" s="11">
        <v>1194</v>
      </c>
      <c r="B1198" s="12" t="s">
        <v>665</v>
      </c>
      <c r="C1198" s="12" t="str">
        <f t="shared" si="50"/>
        <v>142435</v>
      </c>
      <c r="D1198" s="12" t="str">
        <f>"14.142435/2024.00003/BC.I."</f>
        <v>14.142435/2024.00003/BC.I.</v>
      </c>
      <c r="E1198" s="12" t="str">
        <f>"200480007436"</f>
        <v>200480007436</v>
      </c>
      <c r="F1198" s="12" t="str">
        <f>"IMPRESORA/LASER PARA COMPUTACION"</f>
        <v>IMPRESORA/LASER PARA COMPUTACION</v>
      </c>
      <c r="G1198" s="12" t="s">
        <v>19</v>
      </c>
      <c r="H1198" s="12" t="s">
        <v>20</v>
      </c>
      <c r="I1198" s="12">
        <v>1</v>
      </c>
      <c r="J1198" s="12" t="s">
        <v>21</v>
      </c>
      <c r="K1198" s="12" t="s">
        <v>22</v>
      </c>
      <c r="L1198" s="13">
        <v>30</v>
      </c>
    </row>
    <row r="1199" spans="1:12" ht="18" x14ac:dyDescent="0.25">
      <c r="A1199" s="11">
        <v>1195</v>
      </c>
      <c r="B1199" s="12" t="s">
        <v>665</v>
      </c>
      <c r="C1199" s="12" t="str">
        <f t="shared" si="50"/>
        <v>142435</v>
      </c>
      <c r="D1199" s="12" t="str">
        <f>"14.142435/2024.00001/BC.I."</f>
        <v>14.142435/2024.00001/BC.I.</v>
      </c>
      <c r="E1199" s="12" t="str">
        <f>"200580077580"</f>
        <v>200580077580</v>
      </c>
      <c r="F1199" s="12" t="str">
        <f>"COMPUTADORA/MICROCOMPUTADORA"</f>
        <v>COMPUTADORA/MICROCOMPUTADORA</v>
      </c>
      <c r="G1199" s="12" t="s">
        <v>19</v>
      </c>
      <c r="H1199" s="12" t="s">
        <v>20</v>
      </c>
      <c r="I1199" s="12">
        <v>1</v>
      </c>
      <c r="J1199" s="12" t="s">
        <v>21</v>
      </c>
      <c r="K1199" s="12" t="s">
        <v>22</v>
      </c>
      <c r="L1199" s="13">
        <v>35</v>
      </c>
    </row>
    <row r="1200" spans="1:12" ht="18" x14ac:dyDescent="0.25">
      <c r="A1200" s="11">
        <v>1196</v>
      </c>
      <c r="B1200" s="12" t="s">
        <v>665</v>
      </c>
      <c r="C1200" s="12" t="str">
        <f t="shared" si="50"/>
        <v>142435</v>
      </c>
      <c r="D1200" s="12" t="str">
        <f>"14.142435/2024.00011/BC.I."</f>
        <v>14.142435/2024.00011/BC.I.</v>
      </c>
      <c r="E1200" s="12" t="str">
        <f>"201080053586"</f>
        <v>201080053586</v>
      </c>
      <c r="F1200" s="12" t="str">
        <f>"COMPUTADORA/MICROCOMPUTADORA"</f>
        <v>COMPUTADORA/MICROCOMPUTADORA</v>
      </c>
      <c r="G1200" s="12" t="s">
        <v>19</v>
      </c>
      <c r="H1200" s="12" t="s">
        <v>20</v>
      </c>
      <c r="I1200" s="12">
        <v>1</v>
      </c>
      <c r="J1200" s="12" t="s">
        <v>21</v>
      </c>
      <c r="K1200" s="12" t="s">
        <v>22</v>
      </c>
      <c r="L1200" s="13">
        <v>35</v>
      </c>
    </row>
    <row r="1201" spans="1:12" ht="18" x14ac:dyDescent="0.25">
      <c r="A1201" s="11">
        <v>1197</v>
      </c>
      <c r="B1201" s="12" t="s">
        <v>665</v>
      </c>
      <c r="C1201" s="12" t="str">
        <f t="shared" si="50"/>
        <v>142435</v>
      </c>
      <c r="D1201" s="12" t="str">
        <f>"14.142435/2024.00010/BC.I."</f>
        <v>14.142435/2024.00010/BC.I.</v>
      </c>
      <c r="E1201" s="12" t="str">
        <f>"201080053588"</f>
        <v>201080053588</v>
      </c>
      <c r="F1201" s="12" t="str">
        <f>"COMPUTADORA/MICROCOMPUTADORA"</f>
        <v>COMPUTADORA/MICROCOMPUTADORA</v>
      </c>
      <c r="G1201" s="12" t="s">
        <v>19</v>
      </c>
      <c r="H1201" s="12" t="s">
        <v>20</v>
      </c>
      <c r="I1201" s="12">
        <v>1</v>
      </c>
      <c r="J1201" s="12" t="s">
        <v>21</v>
      </c>
      <c r="K1201" s="12" t="s">
        <v>22</v>
      </c>
      <c r="L1201" s="13">
        <v>35</v>
      </c>
    </row>
    <row r="1202" spans="1:12" ht="18" x14ac:dyDescent="0.25">
      <c r="A1202" s="11">
        <v>1198</v>
      </c>
      <c r="B1202" s="12" t="s">
        <v>665</v>
      </c>
      <c r="C1202" s="12" t="str">
        <f t="shared" si="50"/>
        <v>142435</v>
      </c>
      <c r="D1202" s="12" t="str">
        <f>"14.142435/2024.00009/BC.I."</f>
        <v>14.142435/2024.00009/BC.I.</v>
      </c>
      <c r="E1202" s="12" t="str">
        <f>"201080053603"</f>
        <v>201080053603</v>
      </c>
      <c r="F1202" s="12" t="str">
        <f>"COMPUTADORA/MICROCOMPUTADORA"</f>
        <v>COMPUTADORA/MICROCOMPUTADORA</v>
      </c>
      <c r="G1202" s="12" t="s">
        <v>19</v>
      </c>
      <c r="H1202" s="12" t="s">
        <v>20</v>
      </c>
      <c r="I1202" s="12">
        <v>1</v>
      </c>
      <c r="J1202" s="12" t="s">
        <v>21</v>
      </c>
      <c r="K1202" s="12" t="s">
        <v>22</v>
      </c>
      <c r="L1202" s="13">
        <v>35</v>
      </c>
    </row>
    <row r="1203" spans="1:12" ht="18" x14ac:dyDescent="0.25">
      <c r="A1203" s="11">
        <v>1199</v>
      </c>
      <c r="B1203" s="12" t="s">
        <v>665</v>
      </c>
      <c r="C1203" s="12" t="str">
        <f t="shared" si="50"/>
        <v>142435</v>
      </c>
      <c r="D1203" s="12" t="str">
        <f>"14.142435/2024.00004/BC.I."</f>
        <v>14.142435/2024.00004/BC.I.</v>
      </c>
      <c r="E1203" s="12" t="str">
        <f>"201080069377"</f>
        <v>201080069377</v>
      </c>
      <c r="F1203" s="12" t="str">
        <f>"IMPRESORA/LASER PARA COMPUTACION"</f>
        <v>IMPRESORA/LASER PARA COMPUTACION</v>
      </c>
      <c r="G1203" s="12" t="s">
        <v>19</v>
      </c>
      <c r="H1203" s="12" t="s">
        <v>20</v>
      </c>
      <c r="I1203" s="12">
        <v>1</v>
      </c>
      <c r="J1203" s="12" t="s">
        <v>21</v>
      </c>
      <c r="K1203" s="12" t="s">
        <v>22</v>
      </c>
      <c r="L1203" s="13">
        <v>30</v>
      </c>
    </row>
    <row r="1204" spans="1:12" ht="18" x14ac:dyDescent="0.25">
      <c r="A1204" s="11">
        <v>1200</v>
      </c>
      <c r="B1204" s="12" t="s">
        <v>665</v>
      </c>
      <c r="C1204" s="12" t="str">
        <f t="shared" si="50"/>
        <v>142435</v>
      </c>
      <c r="D1204" s="12" t="str">
        <f>"14.142435/2024.00008/BC.I."</f>
        <v>14.142435/2024.00008/BC.I.</v>
      </c>
      <c r="E1204" s="12" t="str">
        <f>"201080069442"</f>
        <v>201080069442</v>
      </c>
      <c r="F1204" s="12" t="str">
        <f>"IMPRESORA/LASER PARA COMPUTACION"</f>
        <v>IMPRESORA/LASER PARA COMPUTACION</v>
      </c>
      <c r="G1204" s="12" t="s">
        <v>19</v>
      </c>
      <c r="H1204" s="12" t="s">
        <v>20</v>
      </c>
      <c r="I1204" s="12">
        <v>1</v>
      </c>
      <c r="J1204" s="12" t="s">
        <v>21</v>
      </c>
      <c r="K1204" s="12" t="s">
        <v>22</v>
      </c>
      <c r="L1204" s="13">
        <v>30</v>
      </c>
    </row>
    <row r="1205" spans="1:12" ht="18" x14ac:dyDescent="0.25">
      <c r="A1205" s="11">
        <v>1201</v>
      </c>
      <c r="B1205" s="12" t="s">
        <v>665</v>
      </c>
      <c r="C1205" s="12" t="str">
        <f t="shared" si="50"/>
        <v>142435</v>
      </c>
      <c r="D1205" s="12" t="str">
        <f>"14.142435/2024.00006/BC.I."</f>
        <v>14.142435/2024.00006/BC.I.</v>
      </c>
      <c r="E1205" s="12" t="str">
        <f>"201080069453"</f>
        <v>201080069453</v>
      </c>
      <c r="F1205" s="12" t="str">
        <f>"IMPRESORA/LASER PARA COMPUTACION"</f>
        <v>IMPRESORA/LASER PARA COMPUTACION</v>
      </c>
      <c r="G1205" s="12" t="s">
        <v>19</v>
      </c>
      <c r="H1205" s="12" t="s">
        <v>20</v>
      </c>
      <c r="I1205" s="12">
        <v>1</v>
      </c>
      <c r="J1205" s="12" t="s">
        <v>21</v>
      </c>
      <c r="K1205" s="12" t="s">
        <v>22</v>
      </c>
      <c r="L1205" s="13">
        <v>30</v>
      </c>
    </row>
    <row r="1206" spans="1:12" ht="18" x14ac:dyDescent="0.25">
      <c r="A1206" s="11">
        <v>1202</v>
      </c>
      <c r="B1206" s="12" t="s">
        <v>665</v>
      </c>
      <c r="C1206" s="12" t="str">
        <f t="shared" si="50"/>
        <v>142435</v>
      </c>
      <c r="D1206" s="12" t="str">
        <f>"14.142435/2024.00007/BC.I."</f>
        <v>14.142435/2024.00007/BC.I.</v>
      </c>
      <c r="E1206" s="12" t="str">
        <f>"201080069467"</f>
        <v>201080069467</v>
      </c>
      <c r="F1206" s="12" t="str">
        <f>"IMPRESORA/LASER PARA COMPUTACION"</f>
        <v>IMPRESORA/LASER PARA COMPUTACION</v>
      </c>
      <c r="G1206" s="12" t="s">
        <v>19</v>
      </c>
      <c r="H1206" s="12" t="s">
        <v>20</v>
      </c>
      <c r="I1206" s="12">
        <v>1</v>
      </c>
      <c r="J1206" s="12" t="s">
        <v>21</v>
      </c>
      <c r="K1206" s="12" t="s">
        <v>22</v>
      </c>
      <c r="L1206" s="13">
        <v>30</v>
      </c>
    </row>
    <row r="1207" spans="1:12" ht="18" x14ac:dyDescent="0.25">
      <c r="A1207" s="11">
        <v>1203</v>
      </c>
      <c r="B1207" s="12" t="s">
        <v>665</v>
      </c>
      <c r="C1207" s="12" t="str">
        <f t="shared" si="50"/>
        <v>142435</v>
      </c>
      <c r="D1207" s="12" t="str">
        <f>"14.142435/2024.00005/BC.I."</f>
        <v>14.142435/2024.00005/BC.I.</v>
      </c>
      <c r="E1207" s="12" t="str">
        <f>"201080069502"</f>
        <v>201080069502</v>
      </c>
      <c r="F1207" s="12" t="str">
        <f>"IMPRESORA/LASER PARA COMPUTACION"</f>
        <v>IMPRESORA/LASER PARA COMPUTACION</v>
      </c>
      <c r="G1207" s="12" t="s">
        <v>19</v>
      </c>
      <c r="H1207" s="12" t="s">
        <v>20</v>
      </c>
      <c r="I1207" s="12">
        <v>1</v>
      </c>
      <c r="J1207" s="12" t="s">
        <v>21</v>
      </c>
      <c r="K1207" s="12" t="s">
        <v>22</v>
      </c>
      <c r="L1207" s="13">
        <v>30</v>
      </c>
    </row>
    <row r="1208" spans="1:12" ht="27" x14ac:dyDescent="0.25">
      <c r="A1208" s="11">
        <v>1204</v>
      </c>
      <c r="B1208" s="12" t="s">
        <v>666</v>
      </c>
      <c r="C1208" s="12" t="str">
        <f>"142458"</f>
        <v>142458</v>
      </c>
      <c r="D1208" s="12" t="str">
        <f>"14.142458/2024.00203/BC.O."</f>
        <v>14.142458/2024.00203/BC.O.</v>
      </c>
      <c r="E1208" s="12" t="str">
        <f>"1985033660"</f>
        <v>1985033660</v>
      </c>
      <c r="F1208" s="12" t="str">
        <f>"EQUIPO DE RAYOS X/ODONTOGRAFICOS, CORIX, NS:124-151-4022"</f>
        <v>EQUIPO DE RAYOS X/ODONTOGRAFICOS, CORIX, NS:124-151-4022</v>
      </c>
      <c r="G1208" s="12" t="s">
        <v>19</v>
      </c>
      <c r="H1208" s="12" t="s">
        <v>20</v>
      </c>
      <c r="I1208" s="12">
        <v>1</v>
      </c>
      <c r="J1208" s="12" t="s">
        <v>21</v>
      </c>
      <c r="K1208" s="12" t="s">
        <v>22</v>
      </c>
      <c r="L1208" s="13">
        <v>1500</v>
      </c>
    </row>
    <row r="1209" spans="1:12" ht="18" x14ac:dyDescent="0.25">
      <c r="A1209" s="11">
        <v>1205</v>
      </c>
      <c r="B1209" s="12" t="s">
        <v>667</v>
      </c>
      <c r="C1209" s="12" t="str">
        <f>"142477"</f>
        <v>142477</v>
      </c>
      <c r="D1209" s="12" t="str">
        <f>"14.142477/2024.00018/BC.O."</f>
        <v>14.142477/2024.00018/BC.O.</v>
      </c>
      <c r="E1209" s="12" t="str">
        <f>"2000903350"</f>
        <v>2000903350</v>
      </c>
      <c r="F1209" s="12" t="str">
        <f>"DETECTOR/DE PULSO FETAL"</f>
        <v>DETECTOR/DE PULSO FETAL</v>
      </c>
      <c r="G1209" s="12" t="s">
        <v>19</v>
      </c>
      <c r="H1209" s="12" t="s">
        <v>20</v>
      </c>
      <c r="I1209" s="12">
        <v>1</v>
      </c>
      <c r="J1209" s="12" t="s">
        <v>21</v>
      </c>
      <c r="K1209" s="12" t="s">
        <v>22</v>
      </c>
      <c r="L1209" s="13">
        <v>25</v>
      </c>
    </row>
    <row r="1210" spans="1:12" ht="18" x14ac:dyDescent="0.25">
      <c r="A1210" s="11">
        <v>1206</v>
      </c>
      <c r="B1210" s="12" t="s">
        <v>667</v>
      </c>
      <c r="C1210" s="12" t="str">
        <f>"142477"</f>
        <v>142477</v>
      </c>
      <c r="D1210" s="12" t="str">
        <f>"14.142477/2024.00019/BC.O."</f>
        <v>14.142477/2024.00019/BC.O.</v>
      </c>
      <c r="E1210" s="12" t="str">
        <f>"200400020274"</f>
        <v>200400020274</v>
      </c>
      <c r="F1210" s="12" t="str">
        <f>"ESTUCHE/DE DIAGNOSTICO"</f>
        <v>ESTUCHE/DE DIAGNOSTICO</v>
      </c>
      <c r="G1210" s="12" t="s">
        <v>19</v>
      </c>
      <c r="H1210" s="12" t="s">
        <v>20</v>
      </c>
      <c r="I1210" s="12">
        <v>1</v>
      </c>
      <c r="J1210" s="12" t="s">
        <v>21</v>
      </c>
      <c r="K1210" s="12" t="s">
        <v>22</v>
      </c>
      <c r="L1210" s="13">
        <v>50</v>
      </c>
    </row>
    <row r="1211" spans="1:12" ht="18" x14ac:dyDescent="0.25">
      <c r="A1211" s="11">
        <v>1207</v>
      </c>
      <c r="B1211" s="12" t="s">
        <v>667</v>
      </c>
      <c r="C1211" s="12" t="str">
        <f>"142477"</f>
        <v>142477</v>
      </c>
      <c r="D1211" s="12" t="str">
        <f>"14.142477/2024.00020/BC.O."</f>
        <v>14.142477/2024.00020/BC.O.</v>
      </c>
      <c r="E1211" s="12" t="str">
        <f>"200400054504"</f>
        <v>200400054504</v>
      </c>
      <c r="F1211" s="12" t="str">
        <f>"DETECTOR/DE PULSO FETAL"</f>
        <v>DETECTOR/DE PULSO FETAL</v>
      </c>
      <c r="G1211" s="12" t="s">
        <v>19</v>
      </c>
      <c r="H1211" s="12" t="s">
        <v>20</v>
      </c>
      <c r="I1211" s="12">
        <v>1</v>
      </c>
      <c r="J1211" s="12" t="s">
        <v>21</v>
      </c>
      <c r="K1211" s="12" t="s">
        <v>22</v>
      </c>
      <c r="L1211" s="13">
        <v>25</v>
      </c>
    </row>
    <row r="1212" spans="1:12" ht="18" x14ac:dyDescent="0.25">
      <c r="A1212" s="11">
        <v>1208</v>
      </c>
      <c r="B1212" s="12" t="s">
        <v>668</v>
      </c>
      <c r="C1212" s="12" t="str">
        <f>"142466"</f>
        <v>142466</v>
      </c>
      <c r="D1212" s="12" t="str">
        <f>"14.142466/2024.00029/BC.I."</f>
        <v>14.142466/2024.00029/BC.I.</v>
      </c>
      <c r="E1212" s="12" t="str">
        <f>"200880020856"</f>
        <v>200880020856</v>
      </c>
      <c r="F1212" s="12" t="str">
        <f>"COMPUTADORA/MICROCOMPUTADORA"</f>
        <v>COMPUTADORA/MICROCOMPUTADORA</v>
      </c>
      <c r="G1212" s="12" t="s">
        <v>19</v>
      </c>
      <c r="H1212" s="12" t="s">
        <v>20</v>
      </c>
      <c r="I1212" s="12">
        <v>1</v>
      </c>
      <c r="J1212" s="12" t="s">
        <v>21</v>
      </c>
      <c r="K1212" s="12" t="s">
        <v>22</v>
      </c>
      <c r="L1212" s="13">
        <v>35</v>
      </c>
    </row>
    <row r="1213" spans="1:12" ht="18" x14ac:dyDescent="0.25">
      <c r="A1213" s="11">
        <v>1209</v>
      </c>
      <c r="B1213" s="12" t="s">
        <v>669</v>
      </c>
      <c r="C1213" s="12" t="str">
        <f>"142478"</f>
        <v>142478</v>
      </c>
      <c r="D1213" s="12" t="str">
        <f>"14.142478/2024.00001/BC.I."</f>
        <v>14.142478/2024.00001/BC.I.</v>
      </c>
      <c r="E1213" s="12" t="str">
        <f>"201080053953"</f>
        <v>201080053953</v>
      </c>
      <c r="F1213" s="12" t="str">
        <f>"COMPUTADORA/MICROCOMPUTADORA"</f>
        <v>COMPUTADORA/MICROCOMPUTADORA</v>
      </c>
      <c r="G1213" s="12" t="s">
        <v>19</v>
      </c>
      <c r="H1213" s="12" t="s">
        <v>20</v>
      </c>
      <c r="I1213" s="12">
        <v>1</v>
      </c>
      <c r="J1213" s="12" t="s">
        <v>21</v>
      </c>
      <c r="K1213" s="12" t="s">
        <v>22</v>
      </c>
      <c r="L1213" s="13">
        <v>35</v>
      </c>
    </row>
    <row r="1214" spans="1:12" ht="18" x14ac:dyDescent="0.25">
      <c r="A1214" s="11">
        <v>1210</v>
      </c>
      <c r="B1214" s="12" t="s">
        <v>670</v>
      </c>
      <c r="C1214" s="12" t="str">
        <f>"142482"</f>
        <v>142482</v>
      </c>
      <c r="D1214" s="12" t="str">
        <f>"14.142482/2024.00001/BC.I."</f>
        <v>14.142482/2024.00001/BC.I.</v>
      </c>
      <c r="E1214" s="12" t="str">
        <f>"200580085598"</f>
        <v>200580085598</v>
      </c>
      <c r="F1214" s="12" t="str">
        <f>"COMPUTADORA/MICROCOMPUTADORA"</f>
        <v>COMPUTADORA/MICROCOMPUTADORA</v>
      </c>
      <c r="G1214" s="12" t="s">
        <v>19</v>
      </c>
      <c r="H1214" s="12" t="s">
        <v>20</v>
      </c>
      <c r="I1214" s="12">
        <v>1</v>
      </c>
      <c r="J1214" s="12" t="s">
        <v>21</v>
      </c>
      <c r="K1214" s="12" t="s">
        <v>22</v>
      </c>
      <c r="L1214" s="13">
        <v>35</v>
      </c>
    </row>
    <row r="1215" spans="1:12" ht="18" x14ac:dyDescent="0.25">
      <c r="A1215" s="11">
        <v>1211</v>
      </c>
      <c r="B1215" s="12" t="s">
        <v>671</v>
      </c>
      <c r="C1215" s="12" t="str">
        <f>"142482"</f>
        <v>142482</v>
      </c>
      <c r="D1215" s="12" t="str">
        <f>"14.142482/2024.00002/BC.I."</f>
        <v>14.142482/2024.00002/BC.I.</v>
      </c>
      <c r="E1215" s="12" t="str">
        <f>"201080060025"</f>
        <v>201080060025</v>
      </c>
      <c r="F1215" s="12" t="str">
        <f>"COMPUTADORA/MICROCOMPUTADORA"</f>
        <v>COMPUTADORA/MICROCOMPUTADORA</v>
      </c>
      <c r="G1215" s="12" t="s">
        <v>19</v>
      </c>
      <c r="H1215" s="12" t="s">
        <v>20</v>
      </c>
      <c r="I1215" s="12">
        <v>1</v>
      </c>
      <c r="J1215" s="12" t="s">
        <v>21</v>
      </c>
      <c r="K1215" s="12" t="s">
        <v>22</v>
      </c>
      <c r="L1215" s="13">
        <v>35</v>
      </c>
    </row>
    <row r="1216" spans="1:12" ht="18" x14ac:dyDescent="0.25">
      <c r="A1216" s="11">
        <v>1212</v>
      </c>
      <c r="B1216" s="12" t="s">
        <v>672</v>
      </c>
      <c r="C1216" s="12" t="str">
        <f>"142467"</f>
        <v>142467</v>
      </c>
      <c r="D1216" s="12" t="str">
        <f>"14.142467/2024.00018/BC.O."</f>
        <v>14.142467/2024.00018/BC.O.</v>
      </c>
      <c r="E1216" s="12" t="str">
        <f>"200400054508"</f>
        <v>200400054508</v>
      </c>
      <c r="F1216" s="12" t="str">
        <f>"DETECTOR/DE PULSO FETAL"</f>
        <v>DETECTOR/DE PULSO FETAL</v>
      </c>
      <c r="G1216" s="12" t="s">
        <v>19</v>
      </c>
      <c r="H1216" s="12" t="s">
        <v>20</v>
      </c>
      <c r="I1216" s="12">
        <v>1</v>
      </c>
      <c r="J1216" s="12" t="s">
        <v>21</v>
      </c>
      <c r="K1216" s="12" t="s">
        <v>22</v>
      </c>
      <c r="L1216" s="13">
        <v>25</v>
      </c>
    </row>
    <row r="1217" spans="1:12" ht="27" x14ac:dyDescent="0.25">
      <c r="A1217" s="11">
        <v>1213</v>
      </c>
      <c r="B1217" s="12" t="s">
        <v>672</v>
      </c>
      <c r="C1217" s="12" t="str">
        <f>"142467"</f>
        <v>142467</v>
      </c>
      <c r="D1217" s="12" t="str">
        <f>"14.142467/2024.00017/BC.O."</f>
        <v>14.142467/2024.00017/BC.O.</v>
      </c>
      <c r="E1217" s="12" t="str">
        <f>"201080010546"</f>
        <v>201080010546</v>
      </c>
      <c r="F1217" s="12" t="str">
        <f>"OXIMETRO/P-DETERMINAR OXIGENO Y PULSO EN PACIENTE"</f>
        <v>OXIMETRO/P-DETERMINAR OXIGENO Y PULSO EN PACIENTE</v>
      </c>
      <c r="G1217" s="12" t="s">
        <v>19</v>
      </c>
      <c r="H1217" s="12" t="s">
        <v>20</v>
      </c>
      <c r="I1217" s="12">
        <v>1</v>
      </c>
      <c r="J1217" s="12" t="s">
        <v>21</v>
      </c>
      <c r="K1217" s="12" t="s">
        <v>22</v>
      </c>
      <c r="L1217" s="13">
        <v>50</v>
      </c>
    </row>
    <row r="1218" spans="1:12" ht="18" x14ac:dyDescent="0.25">
      <c r="A1218" s="11">
        <v>1214</v>
      </c>
      <c r="B1218" s="12" t="s">
        <v>673</v>
      </c>
      <c r="C1218" s="12" t="str">
        <f>"142451"</f>
        <v>142451</v>
      </c>
      <c r="D1218" s="12" t="str">
        <f>"14.142451/2024.00004/BC.I."</f>
        <v>14.142451/2024.00004/BC.I.</v>
      </c>
      <c r="E1218" s="12" t="str">
        <f>"200880021170"</f>
        <v>200880021170</v>
      </c>
      <c r="F1218" s="12" t="str">
        <f>"COMPUTADORA/MICROCOMPUTADORA"</f>
        <v>COMPUTADORA/MICROCOMPUTADORA</v>
      </c>
      <c r="G1218" s="12" t="s">
        <v>19</v>
      </c>
      <c r="H1218" s="12" t="s">
        <v>20</v>
      </c>
      <c r="I1218" s="12">
        <v>1</v>
      </c>
      <c r="J1218" s="12" t="s">
        <v>21</v>
      </c>
      <c r="K1218" s="12" t="s">
        <v>22</v>
      </c>
      <c r="L1218" s="13">
        <v>35</v>
      </c>
    </row>
    <row r="1219" spans="1:12" ht="18" x14ac:dyDescent="0.25">
      <c r="A1219" s="11">
        <v>1215</v>
      </c>
      <c r="B1219" s="12" t="s">
        <v>673</v>
      </c>
      <c r="C1219" s="12" t="str">
        <f>"142451"</f>
        <v>142451</v>
      </c>
      <c r="D1219" s="12" t="str">
        <f>"14.142451/2024.00003/BC.I."</f>
        <v>14.142451/2024.00003/BC.I.</v>
      </c>
      <c r="E1219" s="12" t="str">
        <f>"201080034104"</f>
        <v>201080034104</v>
      </c>
      <c r="F1219" s="12" t="str">
        <f>"COMPUTADORA/MICROCOMPUTADORA"</f>
        <v>COMPUTADORA/MICROCOMPUTADORA</v>
      </c>
      <c r="G1219" s="12" t="s">
        <v>19</v>
      </c>
      <c r="H1219" s="12" t="s">
        <v>20</v>
      </c>
      <c r="I1219" s="12">
        <v>1</v>
      </c>
      <c r="J1219" s="12" t="s">
        <v>21</v>
      </c>
      <c r="K1219" s="12" t="s">
        <v>22</v>
      </c>
      <c r="L1219" s="13">
        <v>35</v>
      </c>
    </row>
    <row r="1220" spans="1:12" ht="18" x14ac:dyDescent="0.25">
      <c r="A1220" s="11">
        <v>1216</v>
      </c>
      <c r="B1220" s="12" t="s">
        <v>674</v>
      </c>
      <c r="C1220" s="12" t="str">
        <f t="shared" ref="C1220:C1225" si="51">"142472"</f>
        <v>142472</v>
      </c>
      <c r="D1220" s="12" t="str">
        <f>"14.142472/2024.00002/BC.I."</f>
        <v>14.142472/2024.00002/BC.I.</v>
      </c>
      <c r="E1220" s="12" t="str">
        <f>"200880020791"</f>
        <v>200880020791</v>
      </c>
      <c r="F1220" s="12" t="str">
        <f>"COMPUTADORA/MICROCOMPUTADORA"</f>
        <v>COMPUTADORA/MICROCOMPUTADORA</v>
      </c>
      <c r="G1220" s="12" t="s">
        <v>19</v>
      </c>
      <c r="H1220" s="12" t="s">
        <v>20</v>
      </c>
      <c r="I1220" s="12">
        <v>1</v>
      </c>
      <c r="J1220" s="12" t="s">
        <v>21</v>
      </c>
      <c r="K1220" s="12" t="s">
        <v>22</v>
      </c>
      <c r="L1220" s="13">
        <v>35</v>
      </c>
    </row>
    <row r="1221" spans="1:12" ht="18" x14ac:dyDescent="0.25">
      <c r="A1221" s="11">
        <v>1217</v>
      </c>
      <c r="B1221" s="12" t="s">
        <v>674</v>
      </c>
      <c r="C1221" s="12" t="str">
        <f t="shared" si="51"/>
        <v>142472</v>
      </c>
      <c r="D1221" s="12" t="str">
        <f>"14.142472/2024.00001/BC.I."</f>
        <v>14.142472/2024.00001/BC.I.</v>
      </c>
      <c r="E1221" s="12" t="str">
        <f>"200880020834"</f>
        <v>200880020834</v>
      </c>
      <c r="F1221" s="12" t="str">
        <f>"COMPUTADORA/MICROCOMPUTADORA"</f>
        <v>COMPUTADORA/MICROCOMPUTADORA</v>
      </c>
      <c r="G1221" s="12" t="s">
        <v>19</v>
      </c>
      <c r="H1221" s="12" t="s">
        <v>20</v>
      </c>
      <c r="I1221" s="12">
        <v>1</v>
      </c>
      <c r="J1221" s="12" t="s">
        <v>21</v>
      </c>
      <c r="K1221" s="12" t="s">
        <v>22</v>
      </c>
      <c r="L1221" s="13">
        <v>35</v>
      </c>
    </row>
    <row r="1222" spans="1:12" ht="18" x14ac:dyDescent="0.25">
      <c r="A1222" s="11">
        <v>1218</v>
      </c>
      <c r="B1222" s="12" t="s">
        <v>674</v>
      </c>
      <c r="C1222" s="12" t="str">
        <f t="shared" si="51"/>
        <v>142472</v>
      </c>
      <c r="D1222" s="12" t="str">
        <f>"14.142472/2024.00003/BC.I."</f>
        <v>14.142472/2024.00003/BC.I.</v>
      </c>
      <c r="E1222" s="12" t="str">
        <f>"201080053961"</f>
        <v>201080053961</v>
      </c>
      <c r="F1222" s="12" t="str">
        <f>"COMPUTADORA/MICROCOMPUTADORA"</f>
        <v>COMPUTADORA/MICROCOMPUTADORA</v>
      </c>
      <c r="G1222" s="12" t="s">
        <v>19</v>
      </c>
      <c r="H1222" s="12" t="s">
        <v>20</v>
      </c>
      <c r="I1222" s="12">
        <v>1</v>
      </c>
      <c r="J1222" s="12" t="s">
        <v>21</v>
      </c>
      <c r="K1222" s="12" t="s">
        <v>22</v>
      </c>
      <c r="L1222" s="13">
        <v>35</v>
      </c>
    </row>
    <row r="1223" spans="1:12" ht="18" x14ac:dyDescent="0.25">
      <c r="A1223" s="11">
        <v>1219</v>
      </c>
      <c r="B1223" s="12" t="s">
        <v>674</v>
      </c>
      <c r="C1223" s="12" t="str">
        <f t="shared" si="51"/>
        <v>142472</v>
      </c>
      <c r="D1223" s="12" t="str">
        <f>"14.142472/2024.00005/BC.O."</f>
        <v>14.142472/2024.00005/BC.O.</v>
      </c>
      <c r="E1223" s="12" t="str">
        <f>"200400021186"</f>
        <v>200400021186</v>
      </c>
      <c r="F1223" s="12" t="str">
        <f>"PORTA/AGUJAS"</f>
        <v>PORTA/AGUJAS</v>
      </c>
      <c r="G1223" s="12" t="s">
        <v>19</v>
      </c>
      <c r="H1223" s="12" t="s">
        <v>20</v>
      </c>
      <c r="I1223" s="12">
        <v>1</v>
      </c>
      <c r="J1223" s="12" t="s">
        <v>21</v>
      </c>
      <c r="K1223" s="12" t="s">
        <v>22</v>
      </c>
      <c r="L1223" s="13">
        <v>5</v>
      </c>
    </row>
    <row r="1224" spans="1:12" ht="18" x14ac:dyDescent="0.25">
      <c r="A1224" s="11">
        <v>1220</v>
      </c>
      <c r="B1224" s="12" t="s">
        <v>674</v>
      </c>
      <c r="C1224" s="12" t="str">
        <f t="shared" si="51"/>
        <v>142472</v>
      </c>
      <c r="D1224" s="12" t="str">
        <f>"14.142472/2024.00006/BC.O."</f>
        <v>14.142472/2024.00006/BC.O.</v>
      </c>
      <c r="E1224" s="12" t="str">
        <f>"200400032609"</f>
        <v>200400032609</v>
      </c>
      <c r="F1224" s="12" t="str">
        <f>"COCINA,COCINETA/CON PARRILLA ELECTRICA"</f>
        <v>COCINA,COCINETA/CON PARRILLA ELECTRICA</v>
      </c>
      <c r="G1224" s="12" t="s">
        <v>19</v>
      </c>
      <c r="H1224" s="12" t="s">
        <v>20</v>
      </c>
      <c r="I1224" s="12">
        <v>1</v>
      </c>
      <c r="J1224" s="12" t="s">
        <v>21</v>
      </c>
      <c r="K1224" s="12" t="s">
        <v>22</v>
      </c>
      <c r="L1224" s="13">
        <v>50</v>
      </c>
    </row>
    <row r="1225" spans="1:12" ht="18" x14ac:dyDescent="0.25">
      <c r="A1225" s="11">
        <v>1221</v>
      </c>
      <c r="B1225" s="12" t="s">
        <v>674</v>
      </c>
      <c r="C1225" s="12" t="str">
        <f t="shared" si="51"/>
        <v>142472</v>
      </c>
      <c r="D1225" s="12" t="str">
        <f>"14.142472/2024.00004/BC.O."</f>
        <v>14.142472/2024.00004/BC.O.</v>
      </c>
      <c r="E1225" s="12" t="str">
        <f>"201680062836"</f>
        <v>201680062836</v>
      </c>
      <c r="F1225" s="12" t="str">
        <f>"SILLA/MODELO ESPECIAL"</f>
        <v>SILLA/MODELO ESPECIAL</v>
      </c>
      <c r="G1225" s="12" t="s">
        <v>19</v>
      </c>
      <c r="H1225" s="12" t="s">
        <v>20</v>
      </c>
      <c r="I1225" s="12">
        <v>1</v>
      </c>
      <c r="J1225" s="12" t="s">
        <v>21</v>
      </c>
      <c r="K1225" s="12" t="s">
        <v>22</v>
      </c>
      <c r="L1225" s="13">
        <v>25</v>
      </c>
    </row>
    <row r="1226" spans="1:12" ht="18" x14ac:dyDescent="0.25">
      <c r="A1226" s="11">
        <v>1222</v>
      </c>
      <c r="B1226" s="12" t="s">
        <v>675</v>
      </c>
      <c r="C1226" s="12" t="str">
        <f t="shared" ref="C1226:C1234" si="52">"142405"</f>
        <v>142405</v>
      </c>
      <c r="D1226" s="12" t="str">
        <f>"14.142405/2024.00032/BC.O."</f>
        <v>14.142405/2024.00032/BC.O.</v>
      </c>
      <c r="E1226" s="12" t="str">
        <f>"1986000996"</f>
        <v>1986000996</v>
      </c>
      <c r="F1226" s="12" t="str">
        <f>"MICROSCOPIO/PARA LABORATORIO"</f>
        <v>MICROSCOPIO/PARA LABORATORIO</v>
      </c>
      <c r="G1226" s="12" t="s">
        <v>19</v>
      </c>
      <c r="H1226" s="12" t="s">
        <v>20</v>
      </c>
      <c r="I1226" s="12">
        <v>1</v>
      </c>
      <c r="J1226" s="12" t="s">
        <v>21</v>
      </c>
      <c r="K1226" s="12" t="s">
        <v>22</v>
      </c>
      <c r="L1226" s="13">
        <v>50</v>
      </c>
    </row>
    <row r="1227" spans="1:12" ht="18" x14ac:dyDescent="0.25">
      <c r="A1227" s="11">
        <v>1223</v>
      </c>
      <c r="B1227" s="12" t="s">
        <v>675</v>
      </c>
      <c r="C1227" s="12" t="str">
        <f t="shared" si="52"/>
        <v>142405</v>
      </c>
      <c r="D1227" s="12" t="str">
        <f>"14.142405/2024.00033/BC.O."</f>
        <v>14.142405/2024.00033/BC.O.</v>
      </c>
      <c r="E1227" s="12" t="str">
        <f>"1986000998"</f>
        <v>1986000998</v>
      </c>
      <c r="F1227" s="12" t="str">
        <f>"MICROSCOPIO/PARA LABORATORIO"</f>
        <v>MICROSCOPIO/PARA LABORATORIO</v>
      </c>
      <c r="G1227" s="12" t="s">
        <v>19</v>
      </c>
      <c r="H1227" s="12" t="s">
        <v>20</v>
      </c>
      <c r="I1227" s="12">
        <v>1</v>
      </c>
      <c r="J1227" s="12" t="s">
        <v>21</v>
      </c>
      <c r="K1227" s="12" t="s">
        <v>22</v>
      </c>
      <c r="L1227" s="13">
        <v>50</v>
      </c>
    </row>
    <row r="1228" spans="1:12" ht="18" x14ac:dyDescent="0.25">
      <c r="A1228" s="11">
        <v>1224</v>
      </c>
      <c r="B1228" s="12" t="s">
        <v>675</v>
      </c>
      <c r="C1228" s="12" t="str">
        <f t="shared" si="52"/>
        <v>142405</v>
      </c>
      <c r="D1228" s="12" t="str">
        <f>"14.142405/2024.00034/BC.O."</f>
        <v>14.142405/2024.00034/BC.O.</v>
      </c>
      <c r="E1228" s="12" t="str">
        <f>"1986000999"</f>
        <v>1986000999</v>
      </c>
      <c r="F1228" s="12" t="str">
        <f>"MICROSCOPIO/PARA LABORATORIO"</f>
        <v>MICROSCOPIO/PARA LABORATORIO</v>
      </c>
      <c r="G1228" s="12" t="s">
        <v>19</v>
      </c>
      <c r="H1228" s="12" t="s">
        <v>20</v>
      </c>
      <c r="I1228" s="12">
        <v>1</v>
      </c>
      <c r="J1228" s="12" t="s">
        <v>21</v>
      </c>
      <c r="K1228" s="12" t="s">
        <v>22</v>
      </c>
      <c r="L1228" s="13">
        <v>50</v>
      </c>
    </row>
    <row r="1229" spans="1:12" ht="18" x14ac:dyDescent="0.25">
      <c r="A1229" s="11">
        <v>1225</v>
      </c>
      <c r="B1229" s="12" t="s">
        <v>675</v>
      </c>
      <c r="C1229" s="12" t="str">
        <f t="shared" si="52"/>
        <v>142405</v>
      </c>
      <c r="D1229" s="12" t="str">
        <f>"14.142405/2024.00030/BC.O."</f>
        <v>14.142405/2024.00030/BC.O.</v>
      </c>
      <c r="E1229" s="12" t="str">
        <f>"1987048343"</f>
        <v>1987048343</v>
      </c>
      <c r="F1229" s="12" t="str">
        <f>"CENTRIFUGA/DE MESA"</f>
        <v>CENTRIFUGA/DE MESA</v>
      </c>
      <c r="G1229" s="12" t="s">
        <v>19</v>
      </c>
      <c r="H1229" s="12" t="s">
        <v>20</v>
      </c>
      <c r="I1229" s="12">
        <v>1</v>
      </c>
      <c r="J1229" s="12" t="s">
        <v>21</v>
      </c>
      <c r="K1229" s="12" t="s">
        <v>22</v>
      </c>
      <c r="L1229" s="13">
        <v>50</v>
      </c>
    </row>
    <row r="1230" spans="1:12" ht="18" x14ac:dyDescent="0.25">
      <c r="A1230" s="11">
        <v>1226</v>
      </c>
      <c r="B1230" s="12" t="s">
        <v>675</v>
      </c>
      <c r="C1230" s="12" t="str">
        <f t="shared" si="52"/>
        <v>142405</v>
      </c>
      <c r="D1230" s="12" t="str">
        <f>"14.142405/2024.00035/BC.O."</f>
        <v>14.142405/2024.00035/BC.O.</v>
      </c>
      <c r="E1230" s="12" t="str">
        <f>"1987103148"</f>
        <v>1987103148</v>
      </c>
      <c r="F1230" s="12" t="str">
        <f>"MICROSCOPIO/PARA LABORATORIO"</f>
        <v>MICROSCOPIO/PARA LABORATORIO</v>
      </c>
      <c r="G1230" s="12" t="s">
        <v>19</v>
      </c>
      <c r="H1230" s="12" t="s">
        <v>20</v>
      </c>
      <c r="I1230" s="12">
        <v>1</v>
      </c>
      <c r="J1230" s="12" t="s">
        <v>21</v>
      </c>
      <c r="K1230" s="12" t="s">
        <v>22</v>
      </c>
      <c r="L1230" s="13">
        <v>50</v>
      </c>
    </row>
    <row r="1231" spans="1:12" ht="18" x14ac:dyDescent="0.25">
      <c r="A1231" s="11">
        <v>1227</v>
      </c>
      <c r="B1231" s="12" t="s">
        <v>675</v>
      </c>
      <c r="C1231" s="12" t="str">
        <f t="shared" si="52"/>
        <v>142405</v>
      </c>
      <c r="D1231" s="12" t="str">
        <f>"14.142405/2024.00027/BC.O."</f>
        <v>14.142405/2024.00027/BC.O.</v>
      </c>
      <c r="E1231" s="12" t="str">
        <f>"2000905889"</f>
        <v>2000905889</v>
      </c>
      <c r="F1231" s="12" t="str">
        <f>"UNIDAD/ESTOMATOLOGICA"</f>
        <v>UNIDAD/ESTOMATOLOGICA</v>
      </c>
      <c r="G1231" s="12" t="s">
        <v>19</v>
      </c>
      <c r="H1231" s="12" t="s">
        <v>20</v>
      </c>
      <c r="I1231" s="12">
        <v>1</v>
      </c>
      <c r="J1231" s="12" t="s">
        <v>21</v>
      </c>
      <c r="K1231" s="12" t="s">
        <v>22</v>
      </c>
      <c r="L1231" s="13">
        <v>50</v>
      </c>
    </row>
    <row r="1232" spans="1:12" ht="18" x14ac:dyDescent="0.25">
      <c r="A1232" s="11">
        <v>1228</v>
      </c>
      <c r="B1232" s="12" t="s">
        <v>675</v>
      </c>
      <c r="C1232" s="12" t="str">
        <f t="shared" si="52"/>
        <v>142405</v>
      </c>
      <c r="D1232" s="12" t="str">
        <f>"14.142405/2024.00028/BC.O."</f>
        <v>14.142405/2024.00028/BC.O.</v>
      </c>
      <c r="E1232" s="12" t="str">
        <f>"2000905890"</f>
        <v>2000905890</v>
      </c>
      <c r="F1232" s="12" t="str">
        <f>"UNIDAD/ESTOMATOLOGICA"</f>
        <v>UNIDAD/ESTOMATOLOGICA</v>
      </c>
      <c r="G1232" s="12" t="s">
        <v>19</v>
      </c>
      <c r="H1232" s="12" t="s">
        <v>20</v>
      </c>
      <c r="I1232" s="12">
        <v>1</v>
      </c>
      <c r="J1232" s="12" t="s">
        <v>21</v>
      </c>
      <c r="K1232" s="12" t="s">
        <v>22</v>
      </c>
      <c r="L1232" s="13">
        <v>50</v>
      </c>
    </row>
    <row r="1233" spans="1:12" ht="18" x14ac:dyDescent="0.25">
      <c r="A1233" s="11">
        <v>1229</v>
      </c>
      <c r="B1233" s="12" t="s">
        <v>675</v>
      </c>
      <c r="C1233" s="12" t="str">
        <f t="shared" si="52"/>
        <v>142405</v>
      </c>
      <c r="D1233" s="12" t="str">
        <f>"14.142405/2024.00029/BC.O."</f>
        <v>14.142405/2024.00029/BC.O.</v>
      </c>
      <c r="E1233" s="12" t="str">
        <f>"200400018492"</f>
        <v>200400018492</v>
      </c>
      <c r="F1233" s="12" t="str">
        <f>"MICROSCOPIO/PARA LABORATORIO"</f>
        <v>MICROSCOPIO/PARA LABORATORIO</v>
      </c>
      <c r="G1233" s="12" t="s">
        <v>19</v>
      </c>
      <c r="H1233" s="12" t="s">
        <v>20</v>
      </c>
      <c r="I1233" s="12">
        <v>1</v>
      </c>
      <c r="J1233" s="12" t="s">
        <v>21</v>
      </c>
      <c r="K1233" s="12" t="s">
        <v>22</v>
      </c>
      <c r="L1233" s="13">
        <v>50</v>
      </c>
    </row>
    <row r="1234" spans="1:12" ht="18" x14ac:dyDescent="0.25">
      <c r="A1234" s="11">
        <v>1230</v>
      </c>
      <c r="B1234" s="12" t="s">
        <v>675</v>
      </c>
      <c r="C1234" s="12" t="str">
        <f t="shared" si="52"/>
        <v>142405</v>
      </c>
      <c r="D1234" s="12" t="str">
        <f>"14.142405/2024.00031/BC.O."</f>
        <v>14.142405/2024.00031/BC.O.</v>
      </c>
      <c r="E1234" s="12" t="str">
        <f>"200400031037"</f>
        <v>200400031037</v>
      </c>
      <c r="F1234" s="12" t="str">
        <f>"REFRIGERADOR/PARA LABORATORIO"</f>
        <v>REFRIGERADOR/PARA LABORATORIO</v>
      </c>
      <c r="G1234" s="12" t="s">
        <v>19</v>
      </c>
      <c r="H1234" s="12" t="s">
        <v>20</v>
      </c>
      <c r="I1234" s="12">
        <v>1</v>
      </c>
      <c r="J1234" s="12" t="s">
        <v>21</v>
      </c>
      <c r="K1234" s="12" t="s">
        <v>22</v>
      </c>
      <c r="L1234" s="13">
        <v>100</v>
      </c>
    </row>
    <row r="1235" spans="1:12" ht="18" x14ac:dyDescent="0.25">
      <c r="A1235" s="11">
        <v>1231</v>
      </c>
      <c r="B1235" s="12" t="s">
        <v>676</v>
      </c>
      <c r="C1235" s="12" t="str">
        <f t="shared" ref="C1235:C1256" si="53">"142485"</f>
        <v>142485</v>
      </c>
      <c r="D1235" s="12" t="str">
        <f>"14.142485/2024.00020/BC.I."</f>
        <v>14.142485/2024.00020/BC.I.</v>
      </c>
      <c r="E1235" s="12" t="str">
        <f>"200580077556"</f>
        <v>200580077556</v>
      </c>
      <c r="F1235" s="12" t="str">
        <f>"COMPUTADORA/MICROCOMPUTADORA"</f>
        <v>COMPUTADORA/MICROCOMPUTADORA</v>
      </c>
      <c r="G1235" s="12" t="s">
        <v>19</v>
      </c>
      <c r="H1235" s="12" t="s">
        <v>20</v>
      </c>
      <c r="I1235" s="12">
        <v>1</v>
      </c>
      <c r="J1235" s="12" t="s">
        <v>21</v>
      </c>
      <c r="K1235" s="12" t="s">
        <v>22</v>
      </c>
      <c r="L1235" s="13">
        <v>35</v>
      </c>
    </row>
    <row r="1236" spans="1:12" ht="18" x14ac:dyDescent="0.25">
      <c r="A1236" s="11">
        <v>1232</v>
      </c>
      <c r="B1236" s="12" t="s">
        <v>676</v>
      </c>
      <c r="C1236" s="12" t="str">
        <f t="shared" si="53"/>
        <v>142485</v>
      </c>
      <c r="D1236" s="12" t="str">
        <f>"14.142485/2024.00018/BC.I."</f>
        <v>14.142485/2024.00018/BC.I.</v>
      </c>
      <c r="E1236" s="12" t="str">
        <f>"200580088114"</f>
        <v>200580088114</v>
      </c>
      <c r="F1236" s="12" t="str">
        <f>"COMPUTADORA/MICROCOMPUTADORA"</f>
        <v>COMPUTADORA/MICROCOMPUTADORA</v>
      </c>
      <c r="G1236" s="12" t="s">
        <v>19</v>
      </c>
      <c r="H1236" s="12" t="s">
        <v>20</v>
      </c>
      <c r="I1236" s="12">
        <v>1</v>
      </c>
      <c r="J1236" s="12" t="s">
        <v>21</v>
      </c>
      <c r="K1236" s="12" t="s">
        <v>22</v>
      </c>
      <c r="L1236" s="13">
        <v>35</v>
      </c>
    </row>
    <row r="1237" spans="1:12" ht="18" x14ac:dyDescent="0.25">
      <c r="A1237" s="11">
        <v>1233</v>
      </c>
      <c r="B1237" s="12" t="s">
        <v>676</v>
      </c>
      <c r="C1237" s="12" t="str">
        <f t="shared" si="53"/>
        <v>142485</v>
      </c>
      <c r="D1237" s="12" t="str">
        <f>"14.142485/2024.00019/BC.I."</f>
        <v>14.142485/2024.00019/BC.I.</v>
      </c>
      <c r="E1237" s="12" t="str">
        <f>"200880021283"</f>
        <v>200880021283</v>
      </c>
      <c r="F1237" s="12" t="str">
        <f>"COMPUTADORA/MICROCOMPUTADORA"</f>
        <v>COMPUTADORA/MICROCOMPUTADORA</v>
      </c>
      <c r="G1237" s="12" t="s">
        <v>19</v>
      </c>
      <c r="H1237" s="12" t="s">
        <v>20</v>
      </c>
      <c r="I1237" s="12">
        <v>1</v>
      </c>
      <c r="J1237" s="12" t="s">
        <v>21</v>
      </c>
      <c r="K1237" s="12" t="s">
        <v>22</v>
      </c>
      <c r="L1237" s="13">
        <v>35</v>
      </c>
    </row>
    <row r="1238" spans="1:12" ht="18" x14ac:dyDescent="0.25">
      <c r="A1238" s="11">
        <v>1234</v>
      </c>
      <c r="B1238" s="12" t="s">
        <v>676</v>
      </c>
      <c r="C1238" s="12" t="str">
        <f t="shared" si="53"/>
        <v>142485</v>
      </c>
      <c r="D1238" s="12" t="str">
        <f>"14.142485/2024.00017/BC.I."</f>
        <v>14.142485/2024.00017/BC.I.</v>
      </c>
      <c r="E1238" s="12" t="str">
        <f>"200880021443"</f>
        <v>200880021443</v>
      </c>
      <c r="F1238" s="12" t="str">
        <f>"COMPUTADORA/MICROCOMPUTADORA"</f>
        <v>COMPUTADORA/MICROCOMPUTADORA</v>
      </c>
      <c r="G1238" s="12" t="s">
        <v>19</v>
      </c>
      <c r="H1238" s="12" t="s">
        <v>20</v>
      </c>
      <c r="I1238" s="12">
        <v>1</v>
      </c>
      <c r="J1238" s="12" t="s">
        <v>21</v>
      </c>
      <c r="K1238" s="12" t="s">
        <v>22</v>
      </c>
      <c r="L1238" s="13">
        <v>35</v>
      </c>
    </row>
    <row r="1239" spans="1:12" ht="18" x14ac:dyDescent="0.25">
      <c r="A1239" s="11">
        <v>1235</v>
      </c>
      <c r="B1239" s="12" t="s">
        <v>676</v>
      </c>
      <c r="C1239" s="12" t="str">
        <f t="shared" si="53"/>
        <v>142485</v>
      </c>
      <c r="D1239" s="12" t="str">
        <f>"14.142485/2024.00016/BC.I."</f>
        <v>14.142485/2024.00016/BC.I.</v>
      </c>
      <c r="E1239" s="12" t="str">
        <f>"201080053597"</f>
        <v>201080053597</v>
      </c>
      <c r="F1239" s="12" t="str">
        <f>"COMPUTADORA/MICROCOMPUTADORA"</f>
        <v>COMPUTADORA/MICROCOMPUTADORA</v>
      </c>
      <c r="G1239" s="12" t="s">
        <v>19</v>
      </c>
      <c r="H1239" s="12" t="s">
        <v>20</v>
      </c>
      <c r="I1239" s="12">
        <v>1</v>
      </c>
      <c r="J1239" s="12" t="s">
        <v>21</v>
      </c>
      <c r="K1239" s="12" t="s">
        <v>22</v>
      </c>
      <c r="L1239" s="13">
        <v>35</v>
      </c>
    </row>
    <row r="1240" spans="1:12" ht="18" x14ac:dyDescent="0.25">
      <c r="A1240" s="11">
        <v>1236</v>
      </c>
      <c r="B1240" s="12" t="s">
        <v>676</v>
      </c>
      <c r="C1240" s="12" t="str">
        <f t="shared" si="53"/>
        <v>142485</v>
      </c>
      <c r="D1240" s="12" t="str">
        <f>"14.142485/2024.00021/BC.I."</f>
        <v>14.142485/2024.00021/BC.I.</v>
      </c>
      <c r="E1240" s="12" t="str">
        <f>"201080069405"</f>
        <v>201080069405</v>
      </c>
      <c r="F1240" s="12" t="str">
        <f>"IMPRESORA/LASER PARA COMPUTACION"</f>
        <v>IMPRESORA/LASER PARA COMPUTACION</v>
      </c>
      <c r="G1240" s="12" t="s">
        <v>19</v>
      </c>
      <c r="H1240" s="12" t="s">
        <v>20</v>
      </c>
      <c r="I1240" s="12">
        <v>1</v>
      </c>
      <c r="J1240" s="12" t="s">
        <v>21</v>
      </c>
      <c r="K1240" s="12" t="s">
        <v>22</v>
      </c>
      <c r="L1240" s="13">
        <v>30</v>
      </c>
    </row>
    <row r="1241" spans="1:12" ht="18" x14ac:dyDescent="0.25">
      <c r="A1241" s="11">
        <v>1237</v>
      </c>
      <c r="B1241" s="12" t="s">
        <v>676</v>
      </c>
      <c r="C1241" s="12" t="str">
        <f t="shared" si="53"/>
        <v>142485</v>
      </c>
      <c r="D1241" s="12" t="str">
        <f>"14.142485/2024.00004/BC.O."</f>
        <v>14.142485/2024.00004/BC.O.</v>
      </c>
      <c r="E1241" s="12" t="str">
        <f>"1988128546"</f>
        <v>1988128546</v>
      </c>
      <c r="F1241" s="12" t="str">
        <f>"CARRO/PARA BASURA"</f>
        <v>CARRO/PARA BASURA</v>
      </c>
      <c r="G1241" s="12" t="s">
        <v>19</v>
      </c>
      <c r="H1241" s="12" t="s">
        <v>20</v>
      </c>
      <c r="I1241" s="12">
        <v>1</v>
      </c>
      <c r="J1241" s="12" t="s">
        <v>21</v>
      </c>
      <c r="K1241" s="12" t="s">
        <v>22</v>
      </c>
      <c r="L1241" s="13">
        <v>30</v>
      </c>
    </row>
    <row r="1242" spans="1:12" ht="18" x14ac:dyDescent="0.25">
      <c r="A1242" s="11">
        <v>1238</v>
      </c>
      <c r="B1242" s="12" t="s">
        <v>676</v>
      </c>
      <c r="C1242" s="12" t="str">
        <f t="shared" si="53"/>
        <v>142485</v>
      </c>
      <c r="D1242" s="12" t="str">
        <f>"14.142485/2024.00005/BC.O."</f>
        <v>14.142485/2024.00005/BC.O.</v>
      </c>
      <c r="E1242" s="12" t="str">
        <f>"1988128547"</f>
        <v>1988128547</v>
      </c>
      <c r="F1242" s="12" t="str">
        <f>"CARRO/PARA BASURA"</f>
        <v>CARRO/PARA BASURA</v>
      </c>
      <c r="G1242" s="12" t="s">
        <v>19</v>
      </c>
      <c r="H1242" s="12" t="s">
        <v>20</v>
      </c>
      <c r="I1242" s="12">
        <v>1</v>
      </c>
      <c r="J1242" s="12" t="s">
        <v>21</v>
      </c>
      <c r="K1242" s="12" t="s">
        <v>22</v>
      </c>
      <c r="L1242" s="13">
        <v>30</v>
      </c>
    </row>
    <row r="1243" spans="1:12" ht="18" x14ac:dyDescent="0.25">
      <c r="A1243" s="11">
        <v>1239</v>
      </c>
      <c r="B1243" s="12" t="s">
        <v>676</v>
      </c>
      <c r="C1243" s="12" t="str">
        <f t="shared" si="53"/>
        <v>142485</v>
      </c>
      <c r="D1243" s="12" t="str">
        <f>"14.142485/2024.00012/BC.O."</f>
        <v>14.142485/2024.00012/BC.O.</v>
      </c>
      <c r="E1243" s="12" t="str">
        <f>"1988135190"</f>
        <v>1988135190</v>
      </c>
      <c r="F1243" s="12" t="str">
        <f>"BOTE/PARA BASURA"</f>
        <v>BOTE/PARA BASURA</v>
      </c>
      <c r="G1243" s="12" t="s">
        <v>19</v>
      </c>
      <c r="H1243" s="12" t="s">
        <v>20</v>
      </c>
      <c r="I1243" s="12">
        <v>1</v>
      </c>
      <c r="J1243" s="12" t="s">
        <v>21</v>
      </c>
      <c r="K1243" s="12" t="s">
        <v>22</v>
      </c>
      <c r="L1243" s="13">
        <v>25</v>
      </c>
    </row>
    <row r="1244" spans="1:12" ht="18" x14ac:dyDescent="0.25">
      <c r="A1244" s="11">
        <v>1240</v>
      </c>
      <c r="B1244" s="12" t="s">
        <v>676</v>
      </c>
      <c r="C1244" s="12" t="str">
        <f t="shared" si="53"/>
        <v>142485</v>
      </c>
      <c r="D1244" s="12" t="str">
        <f>"14.142485/2024.00011/BC.O."</f>
        <v>14.142485/2024.00011/BC.O.</v>
      </c>
      <c r="E1244" s="12" t="str">
        <f>"1988135192"</f>
        <v>1988135192</v>
      </c>
      <c r="F1244" s="12" t="str">
        <f>"BOTE/PARA BASURA"</f>
        <v>BOTE/PARA BASURA</v>
      </c>
      <c r="G1244" s="12" t="s">
        <v>19</v>
      </c>
      <c r="H1244" s="12" t="s">
        <v>20</v>
      </c>
      <c r="I1244" s="12">
        <v>1</v>
      </c>
      <c r="J1244" s="12" t="s">
        <v>21</v>
      </c>
      <c r="K1244" s="12" t="s">
        <v>22</v>
      </c>
      <c r="L1244" s="13">
        <v>25</v>
      </c>
    </row>
    <row r="1245" spans="1:12" ht="18" x14ac:dyDescent="0.25">
      <c r="A1245" s="11">
        <v>1241</v>
      </c>
      <c r="B1245" s="12" t="s">
        <v>676</v>
      </c>
      <c r="C1245" s="12" t="str">
        <f t="shared" si="53"/>
        <v>142485</v>
      </c>
      <c r="D1245" s="12" t="str">
        <f>"14.142485/2024.00013/BC.O."</f>
        <v>14.142485/2024.00013/BC.O.</v>
      </c>
      <c r="E1245" s="12" t="str">
        <f>"1988135193"</f>
        <v>1988135193</v>
      </c>
      <c r="F1245" s="12" t="str">
        <f>"BOTE/PARA BASURA"</f>
        <v>BOTE/PARA BASURA</v>
      </c>
      <c r="G1245" s="12" t="s">
        <v>19</v>
      </c>
      <c r="H1245" s="12" t="s">
        <v>20</v>
      </c>
      <c r="I1245" s="12">
        <v>1</v>
      </c>
      <c r="J1245" s="12" t="s">
        <v>21</v>
      </c>
      <c r="K1245" s="12" t="s">
        <v>22</v>
      </c>
      <c r="L1245" s="13">
        <v>25</v>
      </c>
    </row>
    <row r="1246" spans="1:12" ht="18" x14ac:dyDescent="0.25">
      <c r="A1246" s="11">
        <v>1242</v>
      </c>
      <c r="B1246" s="12" t="s">
        <v>676</v>
      </c>
      <c r="C1246" s="12" t="str">
        <f t="shared" si="53"/>
        <v>142485</v>
      </c>
      <c r="D1246" s="12" t="str">
        <f>"14.142485/2024.00008/BC.O."</f>
        <v>14.142485/2024.00008/BC.O.</v>
      </c>
      <c r="E1246" s="12" t="str">
        <f>"1999030377"</f>
        <v>1999030377</v>
      </c>
      <c r="F1246" s="12" t="str">
        <f>"MAQUINA DE ESCRIBIR/MANUAL"</f>
        <v>MAQUINA DE ESCRIBIR/MANUAL</v>
      </c>
      <c r="G1246" s="12" t="s">
        <v>19</v>
      </c>
      <c r="H1246" s="12" t="s">
        <v>20</v>
      </c>
      <c r="I1246" s="12">
        <v>1</v>
      </c>
      <c r="J1246" s="12" t="s">
        <v>21</v>
      </c>
      <c r="K1246" s="12" t="s">
        <v>22</v>
      </c>
      <c r="L1246" s="13">
        <v>25</v>
      </c>
    </row>
    <row r="1247" spans="1:12" ht="18" x14ac:dyDescent="0.25">
      <c r="A1247" s="11">
        <v>1243</v>
      </c>
      <c r="B1247" s="12" t="s">
        <v>676</v>
      </c>
      <c r="C1247" s="12" t="str">
        <f t="shared" si="53"/>
        <v>142485</v>
      </c>
      <c r="D1247" s="12" t="str">
        <f>"14.142485/2024.00009/BC.O."</f>
        <v>14.142485/2024.00009/BC.O.</v>
      </c>
      <c r="E1247" s="12" t="str">
        <f>"1999030378"</f>
        <v>1999030378</v>
      </c>
      <c r="F1247" s="12" t="str">
        <f>"MAQUINA DE ESCRIBIR/MANUAL"</f>
        <v>MAQUINA DE ESCRIBIR/MANUAL</v>
      </c>
      <c r="G1247" s="12" t="s">
        <v>19</v>
      </c>
      <c r="H1247" s="12" t="s">
        <v>20</v>
      </c>
      <c r="I1247" s="12">
        <v>1</v>
      </c>
      <c r="J1247" s="12" t="s">
        <v>21</v>
      </c>
      <c r="K1247" s="12" t="s">
        <v>22</v>
      </c>
      <c r="L1247" s="13">
        <v>25</v>
      </c>
    </row>
    <row r="1248" spans="1:12" ht="18" x14ac:dyDescent="0.25">
      <c r="A1248" s="11">
        <v>1244</v>
      </c>
      <c r="B1248" s="12" t="s">
        <v>676</v>
      </c>
      <c r="C1248" s="12" t="str">
        <f t="shared" si="53"/>
        <v>142485</v>
      </c>
      <c r="D1248" s="12" t="str">
        <f>"14.142485/2024.00006/BC.O."</f>
        <v>14.142485/2024.00006/BC.O.</v>
      </c>
      <c r="E1248" s="12" t="str">
        <f>"2000912621"</f>
        <v>2000912621</v>
      </c>
      <c r="F1248" s="12" t="str">
        <f>"MAQUINA DE ESCRIBIR/MANUAL"</f>
        <v>MAQUINA DE ESCRIBIR/MANUAL</v>
      </c>
      <c r="G1248" s="12" t="s">
        <v>19</v>
      </c>
      <c r="H1248" s="12" t="s">
        <v>20</v>
      </c>
      <c r="I1248" s="12">
        <v>1</v>
      </c>
      <c r="J1248" s="12" t="s">
        <v>21</v>
      </c>
      <c r="K1248" s="12" t="s">
        <v>22</v>
      </c>
      <c r="L1248" s="13">
        <v>25</v>
      </c>
    </row>
    <row r="1249" spans="1:12" ht="18" x14ac:dyDescent="0.25">
      <c r="A1249" s="11">
        <v>1245</v>
      </c>
      <c r="B1249" s="12" t="s">
        <v>676</v>
      </c>
      <c r="C1249" s="12" t="str">
        <f t="shared" si="53"/>
        <v>142485</v>
      </c>
      <c r="D1249" s="12" t="str">
        <f>"14.142485/2024.00010/BC.O."</f>
        <v>14.142485/2024.00010/BC.O.</v>
      </c>
      <c r="E1249" s="12" t="str">
        <f>"2000912622"</f>
        <v>2000912622</v>
      </c>
      <c r="F1249" s="12" t="str">
        <f>"MAQUINA DE ESCRIBIR/MANUAL"</f>
        <v>MAQUINA DE ESCRIBIR/MANUAL</v>
      </c>
      <c r="G1249" s="12" t="s">
        <v>19</v>
      </c>
      <c r="H1249" s="12" t="s">
        <v>20</v>
      </c>
      <c r="I1249" s="12">
        <v>1</v>
      </c>
      <c r="J1249" s="12" t="s">
        <v>21</v>
      </c>
      <c r="K1249" s="12" t="s">
        <v>22</v>
      </c>
      <c r="L1249" s="13">
        <v>25</v>
      </c>
    </row>
    <row r="1250" spans="1:12" ht="18" x14ac:dyDescent="0.25">
      <c r="A1250" s="11">
        <v>1246</v>
      </c>
      <c r="B1250" s="12" t="s">
        <v>676</v>
      </c>
      <c r="C1250" s="12" t="str">
        <f t="shared" si="53"/>
        <v>142485</v>
      </c>
      <c r="D1250" s="12" t="str">
        <f>"14.142485/2024.00007/BC.O."</f>
        <v>14.142485/2024.00007/BC.O.</v>
      </c>
      <c r="E1250" s="12" t="str">
        <f>"2000912623"</f>
        <v>2000912623</v>
      </c>
      <c r="F1250" s="12" t="str">
        <f>"MAQUINA DE ESCRIBIR/MANUAL"</f>
        <v>MAQUINA DE ESCRIBIR/MANUAL</v>
      </c>
      <c r="G1250" s="12" t="s">
        <v>19</v>
      </c>
      <c r="H1250" s="12" t="s">
        <v>20</v>
      </c>
      <c r="I1250" s="12">
        <v>1</v>
      </c>
      <c r="J1250" s="12" t="s">
        <v>21</v>
      </c>
      <c r="K1250" s="12" t="s">
        <v>22</v>
      </c>
      <c r="L1250" s="13">
        <v>25</v>
      </c>
    </row>
    <row r="1251" spans="1:12" ht="18" x14ac:dyDescent="0.25">
      <c r="A1251" s="11">
        <v>1247</v>
      </c>
      <c r="B1251" s="12" t="s">
        <v>676</v>
      </c>
      <c r="C1251" s="12" t="str">
        <f t="shared" si="53"/>
        <v>142485</v>
      </c>
      <c r="D1251" s="12" t="str">
        <f>"14.142485/2024.00003/BC.O."</f>
        <v>14.142485/2024.00003/BC.O.</v>
      </c>
      <c r="E1251" s="12" t="str">
        <f>"200390002285"</f>
        <v>200390002285</v>
      </c>
      <c r="F1251" s="12" t="str">
        <f>"BASCULA/ELECTRONICA"</f>
        <v>BASCULA/ELECTRONICA</v>
      </c>
      <c r="G1251" s="12" t="s">
        <v>19</v>
      </c>
      <c r="H1251" s="12" t="s">
        <v>20</v>
      </c>
      <c r="I1251" s="12">
        <v>1</v>
      </c>
      <c r="J1251" s="12" t="s">
        <v>21</v>
      </c>
      <c r="K1251" s="12" t="s">
        <v>22</v>
      </c>
      <c r="L1251" s="13">
        <v>25</v>
      </c>
    </row>
    <row r="1252" spans="1:12" ht="18" x14ac:dyDescent="0.25">
      <c r="A1252" s="11">
        <v>1248</v>
      </c>
      <c r="B1252" s="12" t="s">
        <v>676</v>
      </c>
      <c r="C1252" s="12" t="str">
        <f t="shared" si="53"/>
        <v>142485</v>
      </c>
      <c r="D1252" s="12" t="str">
        <f>"14.142485/2024.00014/BC.O."</f>
        <v>14.142485/2024.00014/BC.O.</v>
      </c>
      <c r="E1252" s="12" t="str">
        <f>"200400021802"</f>
        <v>200400021802</v>
      </c>
      <c r="F1252" s="12" t="str">
        <f>"PORTA/AGUJAS"</f>
        <v>PORTA/AGUJAS</v>
      </c>
      <c r="G1252" s="12" t="s">
        <v>19</v>
      </c>
      <c r="H1252" s="12" t="s">
        <v>20</v>
      </c>
      <c r="I1252" s="12">
        <v>1</v>
      </c>
      <c r="J1252" s="12" t="s">
        <v>21</v>
      </c>
      <c r="K1252" s="12" t="s">
        <v>22</v>
      </c>
      <c r="L1252" s="13">
        <v>5</v>
      </c>
    </row>
    <row r="1253" spans="1:12" ht="18" x14ac:dyDescent="0.25">
      <c r="A1253" s="11">
        <v>1249</v>
      </c>
      <c r="B1253" s="12" t="s">
        <v>676</v>
      </c>
      <c r="C1253" s="12" t="str">
        <f t="shared" si="53"/>
        <v>142485</v>
      </c>
      <c r="D1253" s="12" t="str">
        <f>"14.142485/2024.00015/BC.O."</f>
        <v>14.142485/2024.00015/BC.O.</v>
      </c>
      <c r="E1253" s="12" t="str">
        <f>"200400021803"</f>
        <v>200400021803</v>
      </c>
      <c r="F1253" s="12" t="str">
        <f>"PORTA/AGUJAS"</f>
        <v>PORTA/AGUJAS</v>
      </c>
      <c r="G1253" s="12" t="s">
        <v>19</v>
      </c>
      <c r="H1253" s="12" t="s">
        <v>20</v>
      </c>
      <c r="I1253" s="12">
        <v>1</v>
      </c>
      <c r="J1253" s="12" t="s">
        <v>21</v>
      </c>
      <c r="K1253" s="12" t="s">
        <v>22</v>
      </c>
      <c r="L1253" s="13">
        <v>5</v>
      </c>
    </row>
    <row r="1254" spans="1:12" ht="27" x14ac:dyDescent="0.25">
      <c r="A1254" s="11">
        <v>1250</v>
      </c>
      <c r="B1254" s="12" t="s">
        <v>676</v>
      </c>
      <c r="C1254" s="12" t="str">
        <f t="shared" si="53"/>
        <v>142485</v>
      </c>
      <c r="D1254" s="12" t="str">
        <f>"14.142485/2024.00001/BC.O."</f>
        <v>14.142485/2024.00001/BC.O.</v>
      </c>
      <c r="E1254" s="12" t="str">
        <f>"200400026280"</f>
        <v>200400026280</v>
      </c>
      <c r="F1254" s="12" t="str">
        <f>"DIVAN,CANAPE,CHAISSE LONG/METALICO DE CABEZA MOVIL"</f>
        <v>DIVAN,CANAPE,CHAISSE LONG/METALICO DE CABEZA MOVIL</v>
      </c>
      <c r="G1254" s="12" t="s">
        <v>19</v>
      </c>
      <c r="H1254" s="12" t="s">
        <v>20</v>
      </c>
      <c r="I1254" s="12">
        <v>1</v>
      </c>
      <c r="J1254" s="12" t="s">
        <v>21</v>
      </c>
      <c r="K1254" s="12" t="s">
        <v>22</v>
      </c>
      <c r="L1254" s="13">
        <v>60</v>
      </c>
    </row>
    <row r="1255" spans="1:12" ht="18" x14ac:dyDescent="0.25">
      <c r="A1255" s="11">
        <v>1251</v>
      </c>
      <c r="B1255" s="12" t="s">
        <v>676</v>
      </c>
      <c r="C1255" s="12" t="str">
        <f t="shared" si="53"/>
        <v>142485</v>
      </c>
      <c r="D1255" s="12" t="str">
        <f>"14.142485/2024.00022/BC.O."</f>
        <v>14.142485/2024.00022/BC.O.</v>
      </c>
      <c r="E1255" s="12" t="str">
        <f>"200400032610"</f>
        <v>200400032610</v>
      </c>
      <c r="F1255" s="12" t="str">
        <f>"COCINA,COCINETA/CON PARRILLA ELECTRICA"</f>
        <v>COCINA,COCINETA/CON PARRILLA ELECTRICA</v>
      </c>
      <c r="G1255" s="12" t="s">
        <v>19</v>
      </c>
      <c r="H1255" s="12" t="s">
        <v>20</v>
      </c>
      <c r="I1255" s="12">
        <v>1</v>
      </c>
      <c r="J1255" s="12" t="s">
        <v>21</v>
      </c>
      <c r="K1255" s="12" t="s">
        <v>22</v>
      </c>
      <c r="L1255" s="13">
        <v>50</v>
      </c>
    </row>
    <row r="1256" spans="1:12" ht="18" x14ac:dyDescent="0.25">
      <c r="A1256" s="11">
        <v>1252</v>
      </c>
      <c r="B1256" s="12" t="s">
        <v>676</v>
      </c>
      <c r="C1256" s="12" t="str">
        <f t="shared" si="53"/>
        <v>142485</v>
      </c>
      <c r="D1256" s="12" t="str">
        <f>"14.142485/2024.00002/BC.O."</f>
        <v>14.142485/2024.00002/BC.O.</v>
      </c>
      <c r="E1256" s="12" t="str">
        <f>"200400048460"</f>
        <v>200400048460</v>
      </c>
      <c r="F1256" s="12" t="str">
        <f>"ENFRIADOR/Y CALENTADOR PARA AGUA ELECTRICO"</f>
        <v>ENFRIADOR/Y CALENTADOR PARA AGUA ELECTRICO</v>
      </c>
      <c r="G1256" s="12" t="s">
        <v>19</v>
      </c>
      <c r="H1256" s="12" t="s">
        <v>20</v>
      </c>
      <c r="I1256" s="12">
        <v>1</v>
      </c>
      <c r="J1256" s="12" t="s">
        <v>21</v>
      </c>
      <c r="K1256" s="12" t="s">
        <v>22</v>
      </c>
      <c r="L1256" s="13">
        <v>35</v>
      </c>
    </row>
    <row r="1257" spans="1:12" ht="18" x14ac:dyDescent="0.25">
      <c r="A1257" s="11">
        <v>1253</v>
      </c>
      <c r="B1257" s="12" t="s">
        <v>677</v>
      </c>
      <c r="C1257" s="12" t="str">
        <f t="shared" ref="C1257:C1262" si="54">"142474"</f>
        <v>142474</v>
      </c>
      <c r="D1257" s="12" t="str">
        <f>"14.142474/2024.00010/BC.I."</f>
        <v>14.142474/2024.00010/BC.I.</v>
      </c>
      <c r="E1257" s="12" t="str">
        <f>"200480001589"</f>
        <v>200480001589</v>
      </c>
      <c r="F1257" s="12" t="str">
        <f>"IMPRESORA/LASER PARA COMPUTACION"</f>
        <v>IMPRESORA/LASER PARA COMPUTACION</v>
      </c>
      <c r="G1257" s="12" t="s">
        <v>19</v>
      </c>
      <c r="H1257" s="12" t="s">
        <v>20</v>
      </c>
      <c r="I1257" s="12">
        <v>1</v>
      </c>
      <c r="J1257" s="12" t="s">
        <v>21</v>
      </c>
      <c r="K1257" s="12" t="s">
        <v>22</v>
      </c>
      <c r="L1257" s="13">
        <v>30</v>
      </c>
    </row>
    <row r="1258" spans="1:12" ht="18" x14ac:dyDescent="0.25">
      <c r="A1258" s="11">
        <v>1254</v>
      </c>
      <c r="B1258" s="12" t="s">
        <v>677</v>
      </c>
      <c r="C1258" s="12" t="str">
        <f t="shared" si="54"/>
        <v>142474</v>
      </c>
      <c r="D1258" s="12" t="str">
        <f>"14.142474/2024.00005/BC.I."</f>
        <v>14.142474/2024.00005/BC.I.</v>
      </c>
      <c r="E1258" s="12" t="str">
        <f>"200580077558"</f>
        <v>200580077558</v>
      </c>
      <c r="F1258" s="12" t="str">
        <f t="shared" ref="F1258:F1273" si="55">"COMPUTADORA/MICROCOMPUTADORA"</f>
        <v>COMPUTADORA/MICROCOMPUTADORA</v>
      </c>
      <c r="G1258" s="12" t="s">
        <v>19</v>
      </c>
      <c r="H1258" s="12" t="s">
        <v>20</v>
      </c>
      <c r="I1258" s="12">
        <v>1</v>
      </c>
      <c r="J1258" s="12" t="s">
        <v>21</v>
      </c>
      <c r="K1258" s="12" t="s">
        <v>22</v>
      </c>
      <c r="L1258" s="13">
        <v>35</v>
      </c>
    </row>
    <row r="1259" spans="1:12" ht="18" x14ac:dyDescent="0.25">
      <c r="A1259" s="11">
        <v>1255</v>
      </c>
      <c r="B1259" s="12" t="s">
        <v>677</v>
      </c>
      <c r="C1259" s="12" t="str">
        <f t="shared" si="54"/>
        <v>142474</v>
      </c>
      <c r="D1259" s="12" t="str">
        <f>"14.142474/2024.00006/BC.I."</f>
        <v>14.142474/2024.00006/BC.I.</v>
      </c>
      <c r="E1259" s="12" t="str">
        <f>"200580080955"</f>
        <v>200580080955</v>
      </c>
      <c r="F1259" s="12" t="str">
        <f t="shared" si="55"/>
        <v>COMPUTADORA/MICROCOMPUTADORA</v>
      </c>
      <c r="G1259" s="12" t="s">
        <v>19</v>
      </c>
      <c r="H1259" s="12" t="s">
        <v>20</v>
      </c>
      <c r="I1259" s="12">
        <v>1</v>
      </c>
      <c r="J1259" s="12" t="s">
        <v>21</v>
      </c>
      <c r="K1259" s="12" t="s">
        <v>22</v>
      </c>
      <c r="L1259" s="13">
        <v>35</v>
      </c>
    </row>
    <row r="1260" spans="1:12" ht="18" x14ac:dyDescent="0.25">
      <c r="A1260" s="11">
        <v>1256</v>
      </c>
      <c r="B1260" s="12" t="s">
        <v>677</v>
      </c>
      <c r="C1260" s="12" t="str">
        <f t="shared" si="54"/>
        <v>142474</v>
      </c>
      <c r="D1260" s="12" t="str">
        <f>"14.142474/2024.00008/BC.I."</f>
        <v>14.142474/2024.00008/BC.I.</v>
      </c>
      <c r="E1260" s="12" t="str">
        <f>"200880020668"</f>
        <v>200880020668</v>
      </c>
      <c r="F1260" s="12" t="str">
        <f t="shared" si="55"/>
        <v>COMPUTADORA/MICROCOMPUTADORA</v>
      </c>
      <c r="G1260" s="12" t="s">
        <v>19</v>
      </c>
      <c r="H1260" s="12" t="s">
        <v>20</v>
      </c>
      <c r="I1260" s="12">
        <v>1</v>
      </c>
      <c r="J1260" s="12" t="s">
        <v>21</v>
      </c>
      <c r="K1260" s="12" t="s">
        <v>22</v>
      </c>
      <c r="L1260" s="13">
        <v>35</v>
      </c>
    </row>
    <row r="1261" spans="1:12" ht="18" x14ac:dyDescent="0.25">
      <c r="A1261" s="11">
        <v>1257</v>
      </c>
      <c r="B1261" s="12" t="s">
        <v>677</v>
      </c>
      <c r="C1261" s="12" t="str">
        <f t="shared" si="54"/>
        <v>142474</v>
      </c>
      <c r="D1261" s="12" t="str">
        <f>"14.142474/2024.00007/BC.I."</f>
        <v>14.142474/2024.00007/BC.I.</v>
      </c>
      <c r="E1261" s="12" t="str">
        <f>"200880021209"</f>
        <v>200880021209</v>
      </c>
      <c r="F1261" s="12" t="str">
        <f t="shared" si="55"/>
        <v>COMPUTADORA/MICROCOMPUTADORA</v>
      </c>
      <c r="G1261" s="12" t="s">
        <v>19</v>
      </c>
      <c r="H1261" s="12" t="s">
        <v>20</v>
      </c>
      <c r="I1261" s="12">
        <v>1</v>
      </c>
      <c r="J1261" s="12" t="s">
        <v>21</v>
      </c>
      <c r="K1261" s="12" t="s">
        <v>22</v>
      </c>
      <c r="L1261" s="13">
        <v>35</v>
      </c>
    </row>
    <row r="1262" spans="1:12" ht="18" x14ac:dyDescent="0.25">
      <c r="A1262" s="11">
        <v>1258</v>
      </c>
      <c r="B1262" s="12" t="s">
        <v>677</v>
      </c>
      <c r="C1262" s="12" t="str">
        <f t="shared" si="54"/>
        <v>142474</v>
      </c>
      <c r="D1262" s="12" t="str">
        <f>"14.142474/2024.00009/BC.I."</f>
        <v>14.142474/2024.00009/BC.I.</v>
      </c>
      <c r="E1262" s="12" t="str">
        <f>"201080053560"</f>
        <v>201080053560</v>
      </c>
      <c r="F1262" s="12" t="str">
        <f t="shared" si="55"/>
        <v>COMPUTADORA/MICROCOMPUTADORA</v>
      </c>
      <c r="G1262" s="12" t="s">
        <v>19</v>
      </c>
      <c r="H1262" s="12" t="s">
        <v>20</v>
      </c>
      <c r="I1262" s="12">
        <v>1</v>
      </c>
      <c r="J1262" s="12" t="s">
        <v>21</v>
      </c>
      <c r="K1262" s="12" t="s">
        <v>22</v>
      </c>
      <c r="L1262" s="13">
        <v>35</v>
      </c>
    </row>
    <row r="1263" spans="1:12" ht="18" x14ac:dyDescent="0.25">
      <c r="A1263" s="11">
        <v>1259</v>
      </c>
      <c r="B1263" s="12" t="s">
        <v>678</v>
      </c>
      <c r="C1263" s="12" t="str">
        <f>"142422"</f>
        <v>142422</v>
      </c>
      <c r="D1263" s="12" t="str">
        <f>"14.142422/2024.00004/BC.I."</f>
        <v>14.142422/2024.00004/BC.I.</v>
      </c>
      <c r="E1263" s="12" t="str">
        <f>"200880050746"</f>
        <v>200880050746</v>
      </c>
      <c r="F1263" s="12" t="str">
        <f t="shared" si="55"/>
        <v>COMPUTADORA/MICROCOMPUTADORA</v>
      </c>
      <c r="G1263" s="12" t="s">
        <v>19</v>
      </c>
      <c r="H1263" s="12" t="s">
        <v>20</v>
      </c>
      <c r="I1263" s="12">
        <v>1</v>
      </c>
      <c r="J1263" s="12" t="s">
        <v>21</v>
      </c>
      <c r="K1263" s="12" t="s">
        <v>22</v>
      </c>
      <c r="L1263" s="13">
        <v>35</v>
      </c>
    </row>
    <row r="1264" spans="1:12" ht="18" x14ac:dyDescent="0.25">
      <c r="A1264" s="11">
        <v>1260</v>
      </c>
      <c r="B1264" s="12" t="s">
        <v>678</v>
      </c>
      <c r="C1264" s="12" t="str">
        <f>"142422"</f>
        <v>142422</v>
      </c>
      <c r="D1264" s="12" t="str">
        <f>"14.142422/2024.00002/BC.I."</f>
        <v>14.142422/2024.00002/BC.I.</v>
      </c>
      <c r="E1264" s="12" t="str">
        <f>"200880051455"</f>
        <v>200880051455</v>
      </c>
      <c r="F1264" s="12" t="str">
        <f t="shared" si="55"/>
        <v>COMPUTADORA/MICROCOMPUTADORA</v>
      </c>
      <c r="G1264" s="12" t="s">
        <v>19</v>
      </c>
      <c r="H1264" s="12" t="s">
        <v>20</v>
      </c>
      <c r="I1264" s="12">
        <v>1</v>
      </c>
      <c r="J1264" s="12" t="s">
        <v>21</v>
      </c>
      <c r="K1264" s="12" t="s">
        <v>22</v>
      </c>
      <c r="L1264" s="13">
        <v>35</v>
      </c>
    </row>
    <row r="1265" spans="1:12" ht="18" x14ac:dyDescent="0.25">
      <c r="A1265" s="11">
        <v>1261</v>
      </c>
      <c r="B1265" s="12" t="s">
        <v>678</v>
      </c>
      <c r="C1265" s="12" t="str">
        <f>"142422"</f>
        <v>142422</v>
      </c>
      <c r="D1265" s="12" t="str">
        <f>"14.142422/2024.00003/BC.I."</f>
        <v>14.142422/2024.00003/BC.I.</v>
      </c>
      <c r="E1265" s="12" t="str">
        <f>"201080054015"</f>
        <v>201080054015</v>
      </c>
      <c r="F1265" s="12" t="str">
        <f t="shared" si="55"/>
        <v>COMPUTADORA/MICROCOMPUTADORA</v>
      </c>
      <c r="G1265" s="12" t="s">
        <v>19</v>
      </c>
      <c r="H1265" s="12" t="s">
        <v>20</v>
      </c>
      <c r="I1265" s="12">
        <v>1</v>
      </c>
      <c r="J1265" s="12" t="s">
        <v>21</v>
      </c>
      <c r="K1265" s="12" t="s">
        <v>22</v>
      </c>
      <c r="L1265" s="13">
        <v>35</v>
      </c>
    </row>
    <row r="1266" spans="1:12" ht="18" x14ac:dyDescent="0.25">
      <c r="A1266" s="11">
        <v>1262</v>
      </c>
      <c r="B1266" s="12" t="s">
        <v>678</v>
      </c>
      <c r="C1266" s="12" t="str">
        <f>"142422"</f>
        <v>142422</v>
      </c>
      <c r="D1266" s="12" t="str">
        <f>"14.142422/2024.00001/BC.I."</f>
        <v>14.142422/2024.00001/BC.I.</v>
      </c>
      <c r="E1266" s="12" t="str">
        <f>"201080054033"</f>
        <v>201080054033</v>
      </c>
      <c r="F1266" s="12" t="str">
        <f t="shared" si="55"/>
        <v>COMPUTADORA/MICROCOMPUTADORA</v>
      </c>
      <c r="G1266" s="12" t="s">
        <v>19</v>
      </c>
      <c r="H1266" s="12" t="s">
        <v>20</v>
      </c>
      <c r="I1266" s="12">
        <v>1</v>
      </c>
      <c r="J1266" s="12" t="s">
        <v>21</v>
      </c>
      <c r="K1266" s="12" t="s">
        <v>22</v>
      </c>
      <c r="L1266" s="13">
        <v>35</v>
      </c>
    </row>
    <row r="1267" spans="1:12" ht="18" x14ac:dyDescent="0.25">
      <c r="A1267" s="11">
        <v>1263</v>
      </c>
      <c r="B1267" s="12" t="s">
        <v>679</v>
      </c>
      <c r="C1267" s="12" t="str">
        <f>"142477"</f>
        <v>142477</v>
      </c>
      <c r="D1267" s="12" t="str">
        <f>"14.142477/2024.00021/BC.I."</f>
        <v>14.142477/2024.00021/BC.I.</v>
      </c>
      <c r="E1267" s="12" t="str">
        <f>"200880021350"</f>
        <v>200880021350</v>
      </c>
      <c r="F1267" s="12" t="str">
        <f t="shared" si="55"/>
        <v>COMPUTADORA/MICROCOMPUTADORA</v>
      </c>
      <c r="G1267" s="12" t="s">
        <v>19</v>
      </c>
      <c r="H1267" s="12" t="s">
        <v>20</v>
      </c>
      <c r="I1267" s="12">
        <v>1</v>
      </c>
      <c r="J1267" s="12" t="s">
        <v>21</v>
      </c>
      <c r="K1267" s="12" t="s">
        <v>22</v>
      </c>
      <c r="L1267" s="13">
        <v>35</v>
      </c>
    </row>
    <row r="1268" spans="1:12" ht="18" x14ac:dyDescent="0.25">
      <c r="A1268" s="11">
        <v>1264</v>
      </c>
      <c r="B1268" s="12" t="s">
        <v>680</v>
      </c>
      <c r="C1268" s="12" t="str">
        <f>"142466"</f>
        <v>142466</v>
      </c>
      <c r="D1268" s="12" t="str">
        <f>"14.142466/2024.00026/BC.I."</f>
        <v>14.142466/2024.00026/BC.I.</v>
      </c>
      <c r="E1268" s="12" t="str">
        <f>"2001955573"</f>
        <v>2001955573</v>
      </c>
      <c r="F1268" s="12" t="str">
        <f t="shared" si="55"/>
        <v>COMPUTADORA/MICROCOMPUTADORA</v>
      </c>
      <c r="G1268" s="12" t="s">
        <v>19</v>
      </c>
      <c r="H1268" s="12" t="s">
        <v>20</v>
      </c>
      <c r="I1268" s="12">
        <v>1</v>
      </c>
      <c r="J1268" s="12" t="s">
        <v>21</v>
      </c>
      <c r="K1268" s="12" t="s">
        <v>22</v>
      </c>
      <c r="L1268" s="13">
        <v>35</v>
      </c>
    </row>
    <row r="1269" spans="1:12" ht="18" x14ac:dyDescent="0.25">
      <c r="A1269" s="11">
        <v>1265</v>
      </c>
      <c r="B1269" s="12" t="s">
        <v>680</v>
      </c>
      <c r="C1269" s="12" t="str">
        <f>"142466"</f>
        <v>142466</v>
      </c>
      <c r="D1269" s="12" t="str">
        <f>"14.142466/2024.00027/BC.I."</f>
        <v>14.142466/2024.00027/BC.I.</v>
      </c>
      <c r="E1269" s="12" t="str">
        <f>"200880020459"</f>
        <v>200880020459</v>
      </c>
      <c r="F1269" s="12" t="str">
        <f t="shared" si="55"/>
        <v>COMPUTADORA/MICROCOMPUTADORA</v>
      </c>
      <c r="G1269" s="12" t="s">
        <v>19</v>
      </c>
      <c r="H1269" s="12" t="s">
        <v>20</v>
      </c>
      <c r="I1269" s="12">
        <v>1</v>
      </c>
      <c r="J1269" s="12" t="s">
        <v>21</v>
      </c>
      <c r="K1269" s="12" t="s">
        <v>22</v>
      </c>
      <c r="L1269" s="13">
        <v>35</v>
      </c>
    </row>
    <row r="1270" spans="1:12" ht="18" x14ac:dyDescent="0.25">
      <c r="A1270" s="11">
        <v>1266</v>
      </c>
      <c r="B1270" s="12" t="s">
        <v>681</v>
      </c>
      <c r="C1270" s="12" t="str">
        <f>"142477"</f>
        <v>142477</v>
      </c>
      <c r="D1270" s="12" t="str">
        <f>"14.142477/2024.00022/BC.I."</f>
        <v>14.142477/2024.00022/BC.I.</v>
      </c>
      <c r="E1270" s="12" t="str">
        <f>"200580077597"</f>
        <v>200580077597</v>
      </c>
      <c r="F1270" s="12" t="str">
        <f t="shared" si="55"/>
        <v>COMPUTADORA/MICROCOMPUTADORA</v>
      </c>
      <c r="G1270" s="12" t="s">
        <v>19</v>
      </c>
      <c r="H1270" s="12" t="s">
        <v>20</v>
      </c>
      <c r="I1270" s="12">
        <v>1</v>
      </c>
      <c r="J1270" s="12" t="s">
        <v>21</v>
      </c>
      <c r="K1270" s="12" t="s">
        <v>22</v>
      </c>
      <c r="L1270" s="13">
        <v>35</v>
      </c>
    </row>
    <row r="1271" spans="1:12" ht="18" x14ac:dyDescent="0.25">
      <c r="A1271" s="11">
        <v>1267</v>
      </c>
      <c r="B1271" s="12" t="s">
        <v>681</v>
      </c>
      <c r="C1271" s="12" t="str">
        <f>"142477"</f>
        <v>142477</v>
      </c>
      <c r="D1271" s="12" t="str">
        <f>"14.142477/2024.00023/BC.I."</f>
        <v>14.142477/2024.00023/BC.I.</v>
      </c>
      <c r="E1271" s="12" t="str">
        <f>"200880020869"</f>
        <v>200880020869</v>
      </c>
      <c r="F1271" s="12" t="str">
        <f t="shared" si="55"/>
        <v>COMPUTADORA/MICROCOMPUTADORA</v>
      </c>
      <c r="G1271" s="12" t="s">
        <v>19</v>
      </c>
      <c r="H1271" s="12" t="s">
        <v>20</v>
      </c>
      <c r="I1271" s="12">
        <v>1</v>
      </c>
      <c r="J1271" s="12" t="s">
        <v>21</v>
      </c>
      <c r="K1271" s="12" t="s">
        <v>22</v>
      </c>
      <c r="L1271" s="13">
        <v>35</v>
      </c>
    </row>
    <row r="1272" spans="1:12" ht="18" x14ac:dyDescent="0.25">
      <c r="A1272" s="11">
        <v>1268</v>
      </c>
      <c r="B1272" s="12" t="s">
        <v>682</v>
      </c>
      <c r="C1272" s="12" t="str">
        <f>"142466"</f>
        <v>142466</v>
      </c>
      <c r="D1272" s="12" t="str">
        <f>"14.142466/2024.00028/BC.I."</f>
        <v>14.142466/2024.00028/BC.I.</v>
      </c>
      <c r="E1272" s="12" t="str">
        <f>"200880021073"</f>
        <v>200880021073</v>
      </c>
      <c r="F1272" s="12" t="str">
        <f t="shared" si="55"/>
        <v>COMPUTADORA/MICROCOMPUTADORA</v>
      </c>
      <c r="G1272" s="12" t="s">
        <v>19</v>
      </c>
      <c r="H1272" s="12" t="s">
        <v>20</v>
      </c>
      <c r="I1272" s="12">
        <v>1</v>
      </c>
      <c r="J1272" s="12" t="s">
        <v>21</v>
      </c>
      <c r="K1272" s="12" t="s">
        <v>22</v>
      </c>
      <c r="L1272" s="13">
        <v>35</v>
      </c>
    </row>
    <row r="1273" spans="1:12" ht="18" x14ac:dyDescent="0.25">
      <c r="A1273" s="11">
        <v>1269</v>
      </c>
      <c r="B1273" s="12" t="s">
        <v>683</v>
      </c>
      <c r="C1273" s="12" t="str">
        <f>"140204"</f>
        <v>140204</v>
      </c>
      <c r="D1273" s="12" t="str">
        <f>"14.140204/2024.00706/BC.I."</f>
        <v>14.140204/2024.00706/BC.I.</v>
      </c>
      <c r="E1273" s="12" t="str">
        <f>"200580077578"</f>
        <v>200580077578</v>
      </c>
      <c r="F1273" s="12" t="str">
        <f t="shared" si="55"/>
        <v>COMPUTADORA/MICROCOMPUTADORA</v>
      </c>
      <c r="G1273" s="12" t="s">
        <v>19</v>
      </c>
      <c r="H1273" s="12" t="s">
        <v>20</v>
      </c>
      <c r="I1273" s="12">
        <v>1</v>
      </c>
      <c r="J1273" s="12" t="s">
        <v>21</v>
      </c>
      <c r="K1273" s="12" t="s">
        <v>22</v>
      </c>
      <c r="L1273" s="13">
        <v>35</v>
      </c>
    </row>
    <row r="1274" spans="1:12" ht="18" x14ac:dyDescent="0.25">
      <c r="A1274" s="11">
        <v>1270</v>
      </c>
      <c r="B1274" s="12" t="s">
        <v>684</v>
      </c>
      <c r="C1274" s="12" t="str">
        <f t="shared" ref="C1274:C1282" si="56">"142420"</f>
        <v>142420</v>
      </c>
      <c r="D1274" s="12" t="str">
        <f>"14.142420/2024.00014/BC.I."</f>
        <v>14.142420/2024.00014/BC.I.</v>
      </c>
      <c r="E1274" s="12" t="str">
        <f>"200580027918"</f>
        <v>200580027918</v>
      </c>
      <c r="F1274" s="12" t="str">
        <f>"COMPUTADORA/CENTRAL DE PROCESO"</f>
        <v>COMPUTADORA/CENTRAL DE PROCESO</v>
      </c>
      <c r="G1274" s="12" t="s">
        <v>19</v>
      </c>
      <c r="H1274" s="12" t="s">
        <v>20</v>
      </c>
      <c r="I1274" s="12">
        <v>1</v>
      </c>
      <c r="J1274" s="12" t="s">
        <v>21</v>
      </c>
      <c r="K1274" s="12" t="s">
        <v>22</v>
      </c>
      <c r="L1274" s="13">
        <v>35</v>
      </c>
    </row>
    <row r="1275" spans="1:12" ht="18" x14ac:dyDescent="0.25">
      <c r="A1275" s="11">
        <v>1271</v>
      </c>
      <c r="B1275" s="12" t="s">
        <v>684</v>
      </c>
      <c r="C1275" s="12" t="str">
        <f t="shared" si="56"/>
        <v>142420</v>
      </c>
      <c r="D1275" s="12" t="str">
        <f>"14.142420/2024.00005/BC.O."</f>
        <v>14.142420/2024.00005/BC.O.</v>
      </c>
      <c r="E1275" s="12" t="str">
        <f>"1989102665"</f>
        <v>1989102665</v>
      </c>
      <c r="F1275" s="12" t="str">
        <f>"ESTUCHE/DE DIAGNOSTICO"</f>
        <v>ESTUCHE/DE DIAGNOSTICO</v>
      </c>
      <c r="G1275" s="12" t="s">
        <v>19</v>
      </c>
      <c r="H1275" s="12" t="s">
        <v>20</v>
      </c>
      <c r="I1275" s="12">
        <v>1</v>
      </c>
      <c r="J1275" s="12" t="s">
        <v>21</v>
      </c>
      <c r="K1275" s="12" t="s">
        <v>22</v>
      </c>
      <c r="L1275" s="13">
        <v>35</v>
      </c>
    </row>
    <row r="1276" spans="1:12" ht="18" x14ac:dyDescent="0.25">
      <c r="A1276" s="11">
        <v>1272</v>
      </c>
      <c r="B1276" s="12" t="s">
        <v>684</v>
      </c>
      <c r="C1276" s="12" t="str">
        <f t="shared" si="56"/>
        <v>142420</v>
      </c>
      <c r="D1276" s="12" t="str">
        <f>"14.142420/2024.00006/BC.O."</f>
        <v>14.142420/2024.00006/BC.O.</v>
      </c>
      <c r="E1276" s="12" t="str">
        <f>"1989102692"</f>
        <v>1989102692</v>
      </c>
      <c r="F1276" s="12" t="str">
        <f>"ESTUCHE/DE DIAGNOSTICO"</f>
        <v>ESTUCHE/DE DIAGNOSTICO</v>
      </c>
      <c r="G1276" s="12" t="s">
        <v>19</v>
      </c>
      <c r="H1276" s="12" t="s">
        <v>20</v>
      </c>
      <c r="I1276" s="12">
        <v>1</v>
      </c>
      <c r="J1276" s="12" t="s">
        <v>21</v>
      </c>
      <c r="K1276" s="12" t="s">
        <v>22</v>
      </c>
      <c r="L1276" s="13">
        <v>50</v>
      </c>
    </row>
    <row r="1277" spans="1:12" ht="18" x14ac:dyDescent="0.25">
      <c r="A1277" s="11">
        <v>1273</v>
      </c>
      <c r="B1277" s="12" t="s">
        <v>684</v>
      </c>
      <c r="C1277" s="12" t="str">
        <f t="shared" si="56"/>
        <v>142420</v>
      </c>
      <c r="D1277" s="12" t="str">
        <f>"14.142420/2024.00007/BC.O."</f>
        <v>14.142420/2024.00007/BC.O.</v>
      </c>
      <c r="E1277" s="12" t="str">
        <f>"1999023317"</f>
        <v>1999023317</v>
      </c>
      <c r="F1277" s="12" t="str">
        <f>"MALETIN/MEDICO PARA DIAGNOSTICO"</f>
        <v>MALETIN/MEDICO PARA DIAGNOSTICO</v>
      </c>
      <c r="G1277" s="12" t="s">
        <v>19</v>
      </c>
      <c r="H1277" s="12" t="s">
        <v>20</v>
      </c>
      <c r="I1277" s="12">
        <v>1</v>
      </c>
      <c r="J1277" s="12" t="s">
        <v>21</v>
      </c>
      <c r="K1277" s="12" t="s">
        <v>22</v>
      </c>
      <c r="L1277" s="13">
        <v>50</v>
      </c>
    </row>
    <row r="1278" spans="1:12" ht="18" x14ac:dyDescent="0.25">
      <c r="A1278" s="11">
        <v>1274</v>
      </c>
      <c r="B1278" s="12" t="s">
        <v>684</v>
      </c>
      <c r="C1278" s="12" t="str">
        <f t="shared" si="56"/>
        <v>142420</v>
      </c>
      <c r="D1278" s="12" t="str">
        <f>"14.142420/2024.00008/BC.O."</f>
        <v>14.142420/2024.00008/BC.O.</v>
      </c>
      <c r="E1278" s="12" t="str">
        <f>"2000935052"</f>
        <v>2000935052</v>
      </c>
      <c r="F1278" s="12" t="str">
        <f>"ESTUCHE/DE DIAGNOSTICO"</f>
        <v>ESTUCHE/DE DIAGNOSTICO</v>
      </c>
      <c r="G1278" s="12" t="s">
        <v>19</v>
      </c>
      <c r="H1278" s="12" t="s">
        <v>20</v>
      </c>
      <c r="I1278" s="12">
        <v>1</v>
      </c>
      <c r="J1278" s="12" t="s">
        <v>21</v>
      </c>
      <c r="K1278" s="12" t="s">
        <v>22</v>
      </c>
      <c r="L1278" s="13">
        <v>50</v>
      </c>
    </row>
    <row r="1279" spans="1:12" ht="18" x14ac:dyDescent="0.25">
      <c r="A1279" s="11">
        <v>1275</v>
      </c>
      <c r="B1279" s="12" t="s">
        <v>684</v>
      </c>
      <c r="C1279" s="12" t="str">
        <f t="shared" si="56"/>
        <v>142420</v>
      </c>
      <c r="D1279" s="12" t="str">
        <f>"14.142420/2024.00009/BC.O."</f>
        <v>14.142420/2024.00009/BC.O.</v>
      </c>
      <c r="E1279" s="12" t="str">
        <f>"2000935053"</f>
        <v>2000935053</v>
      </c>
      <c r="F1279" s="12" t="str">
        <f>"ESTUCHE/DE DIAGNOSTICO"</f>
        <v>ESTUCHE/DE DIAGNOSTICO</v>
      </c>
      <c r="G1279" s="12" t="s">
        <v>19</v>
      </c>
      <c r="H1279" s="12" t="s">
        <v>20</v>
      </c>
      <c r="I1279" s="12">
        <v>1</v>
      </c>
      <c r="J1279" s="12" t="s">
        <v>21</v>
      </c>
      <c r="K1279" s="12" t="s">
        <v>22</v>
      </c>
      <c r="L1279" s="13">
        <v>50</v>
      </c>
    </row>
    <row r="1280" spans="1:12" ht="18" x14ac:dyDescent="0.25">
      <c r="A1280" s="11">
        <v>1276</v>
      </c>
      <c r="B1280" s="12" t="s">
        <v>684</v>
      </c>
      <c r="C1280" s="12" t="str">
        <f t="shared" si="56"/>
        <v>142420</v>
      </c>
      <c r="D1280" s="12" t="str">
        <f>"14.142420/2024.00013/BC.O."</f>
        <v>14.142420/2024.00013/BC.O.</v>
      </c>
      <c r="E1280" s="12" t="str">
        <f>"200980010046"</f>
        <v>200980010046</v>
      </c>
      <c r="F1280" s="12" t="str">
        <f>"ESTUCHE/DE DIAGNOSTICO"</f>
        <v>ESTUCHE/DE DIAGNOSTICO</v>
      </c>
      <c r="G1280" s="12" t="s">
        <v>19</v>
      </c>
      <c r="H1280" s="12" t="s">
        <v>20</v>
      </c>
      <c r="I1280" s="12">
        <v>1</v>
      </c>
      <c r="J1280" s="12" t="s">
        <v>21</v>
      </c>
      <c r="K1280" s="12" t="s">
        <v>22</v>
      </c>
      <c r="L1280" s="13">
        <v>50</v>
      </c>
    </row>
    <row r="1281" spans="1:12" ht="18" x14ac:dyDescent="0.25">
      <c r="A1281" s="11">
        <v>1277</v>
      </c>
      <c r="B1281" s="12" t="s">
        <v>684</v>
      </c>
      <c r="C1281" s="12" t="str">
        <f t="shared" si="56"/>
        <v>142420</v>
      </c>
      <c r="D1281" s="12" t="str">
        <f>"14.142420/2024.00011/BC.O."</f>
        <v>14.142420/2024.00011/BC.O.</v>
      </c>
      <c r="E1281" s="12" t="str">
        <f>"200980010049"</f>
        <v>200980010049</v>
      </c>
      <c r="F1281" s="12" t="str">
        <f>"ESTUCHE/DE DIAGNOSTICO"</f>
        <v>ESTUCHE/DE DIAGNOSTICO</v>
      </c>
      <c r="G1281" s="12" t="s">
        <v>19</v>
      </c>
      <c r="H1281" s="12" t="s">
        <v>20</v>
      </c>
      <c r="I1281" s="12">
        <v>1</v>
      </c>
      <c r="J1281" s="12" t="s">
        <v>21</v>
      </c>
      <c r="K1281" s="12" t="s">
        <v>22</v>
      </c>
      <c r="L1281" s="13">
        <v>50</v>
      </c>
    </row>
    <row r="1282" spans="1:12" ht="27" x14ac:dyDescent="0.25">
      <c r="A1282" s="11">
        <v>1278</v>
      </c>
      <c r="B1282" s="12" t="s">
        <v>684</v>
      </c>
      <c r="C1282" s="12" t="str">
        <f t="shared" si="56"/>
        <v>142420</v>
      </c>
      <c r="D1282" s="12" t="str">
        <f>"14.142420/2024.00012/BC.O."</f>
        <v>14.142420/2024.00012/BC.O.</v>
      </c>
      <c r="E1282" s="12" t="str">
        <f>"201080010466"</f>
        <v>201080010466</v>
      </c>
      <c r="F1282" s="12" t="str">
        <f>"OXIMETRO/P-DETERMINAR OXIGENO Y PULSO EN PACIENTE"</f>
        <v>OXIMETRO/P-DETERMINAR OXIGENO Y PULSO EN PACIENTE</v>
      </c>
      <c r="G1282" s="12" t="s">
        <v>19</v>
      </c>
      <c r="H1282" s="12" t="s">
        <v>20</v>
      </c>
      <c r="I1282" s="12">
        <v>1</v>
      </c>
      <c r="J1282" s="12" t="s">
        <v>21</v>
      </c>
      <c r="K1282" s="12" t="s">
        <v>22</v>
      </c>
      <c r="L1282" s="13">
        <v>50</v>
      </c>
    </row>
    <row r="1283" spans="1:12" ht="27" x14ac:dyDescent="0.25">
      <c r="A1283" s="11">
        <v>1279</v>
      </c>
      <c r="B1283" s="12" t="s">
        <v>685</v>
      </c>
      <c r="C1283" s="12" t="str">
        <f t="shared" ref="C1283:C1291" si="57">"142444"</f>
        <v>142444</v>
      </c>
      <c r="D1283" s="12" t="str">
        <f>"14.142444/2024.00208/BC.O."</f>
        <v>14.142444/2024.00208/BC.O.</v>
      </c>
      <c r="E1283" s="12" t="str">
        <f>"1989108363"</f>
        <v>1989108363</v>
      </c>
      <c r="F1283" s="12" t="str">
        <f>"ARCHIVERO/METALICO DE 4 GAVETAS TAMA/O CARTA"</f>
        <v>ARCHIVERO/METALICO DE 4 GAVETAS TAMA/O CARTA</v>
      </c>
      <c r="G1283" s="12" t="s">
        <v>19</v>
      </c>
      <c r="H1283" s="12" t="s">
        <v>20</v>
      </c>
      <c r="I1283" s="12">
        <v>1</v>
      </c>
      <c r="J1283" s="12" t="s">
        <v>21</v>
      </c>
      <c r="K1283" s="12" t="s">
        <v>22</v>
      </c>
      <c r="L1283" s="13">
        <v>40</v>
      </c>
    </row>
    <row r="1284" spans="1:12" ht="28.5" customHeight="1" x14ac:dyDescent="0.25">
      <c r="A1284" s="11">
        <v>1280</v>
      </c>
      <c r="B1284" s="12" t="s">
        <v>685</v>
      </c>
      <c r="C1284" s="12" t="str">
        <f t="shared" si="57"/>
        <v>142444</v>
      </c>
      <c r="D1284" s="12" t="str">
        <f>"14.142444/2024.00209/BC.O."</f>
        <v>14.142444/2024.00209/BC.O.</v>
      </c>
      <c r="E1284" s="12" t="str">
        <f>"1993003899"</f>
        <v>1993003899</v>
      </c>
      <c r="F1284" s="12" t="str">
        <f>"ARCHIVERO/METALICO DE 4 GAVETAS OFICIO"</f>
        <v>ARCHIVERO/METALICO DE 4 GAVETAS OFICIO</v>
      </c>
      <c r="G1284" s="12" t="s">
        <v>19</v>
      </c>
      <c r="H1284" s="12" t="s">
        <v>20</v>
      </c>
      <c r="I1284" s="12">
        <v>1</v>
      </c>
      <c r="J1284" s="12" t="s">
        <v>21</v>
      </c>
      <c r="K1284" s="12" t="s">
        <v>22</v>
      </c>
      <c r="L1284" s="13">
        <v>40</v>
      </c>
    </row>
    <row r="1285" spans="1:12" ht="18" x14ac:dyDescent="0.25">
      <c r="A1285" s="11">
        <v>1281</v>
      </c>
      <c r="B1285" s="12" t="s">
        <v>685</v>
      </c>
      <c r="C1285" s="12" t="str">
        <f t="shared" si="57"/>
        <v>142444</v>
      </c>
      <c r="D1285" s="12" t="str">
        <f>"14.142444/2024.00210/BC.O."</f>
        <v>14.142444/2024.00210/BC.O.</v>
      </c>
      <c r="E1285" s="12" t="str">
        <f>"2000924547"</f>
        <v>2000924547</v>
      </c>
      <c r="F1285" s="12" t="str">
        <f>"ELECTROCAUTERIO/ESTOMATOLOGICO"</f>
        <v>ELECTROCAUTERIO/ESTOMATOLOGICO</v>
      </c>
      <c r="G1285" s="12" t="s">
        <v>19</v>
      </c>
      <c r="H1285" s="12" t="s">
        <v>20</v>
      </c>
      <c r="I1285" s="12">
        <v>1</v>
      </c>
      <c r="J1285" s="12" t="s">
        <v>21</v>
      </c>
      <c r="K1285" s="12" t="s">
        <v>22</v>
      </c>
      <c r="L1285" s="13">
        <v>50</v>
      </c>
    </row>
    <row r="1286" spans="1:12" ht="27" x14ac:dyDescent="0.25">
      <c r="A1286" s="11">
        <v>1282</v>
      </c>
      <c r="B1286" s="12" t="s">
        <v>685</v>
      </c>
      <c r="C1286" s="12" t="str">
        <f t="shared" si="57"/>
        <v>142444</v>
      </c>
      <c r="D1286" s="12" t="str">
        <f>"14.142444/2024.00211/BC.O."</f>
        <v>14.142444/2024.00211/BC.O.</v>
      </c>
      <c r="E1286" s="12" t="str">
        <f>"200400018722"</f>
        <v>200400018722</v>
      </c>
      <c r="F1286" s="12" t="str">
        <f>"GUANTES/PROTECTORES EMPLOMADOS P-RAYOS X (PAR)"</f>
        <v>GUANTES/PROTECTORES EMPLOMADOS P-RAYOS X (PAR)</v>
      </c>
      <c r="G1286" s="12" t="s">
        <v>19</v>
      </c>
      <c r="H1286" s="12" t="s">
        <v>20</v>
      </c>
      <c r="I1286" s="12">
        <v>1</v>
      </c>
      <c r="J1286" s="12" t="s">
        <v>21</v>
      </c>
      <c r="K1286" s="12" t="s">
        <v>22</v>
      </c>
      <c r="L1286" s="13">
        <v>150</v>
      </c>
    </row>
    <row r="1287" spans="1:12" ht="18" x14ac:dyDescent="0.25">
      <c r="A1287" s="11">
        <v>1283</v>
      </c>
      <c r="B1287" s="12" t="s">
        <v>685</v>
      </c>
      <c r="C1287" s="12" t="str">
        <f t="shared" si="57"/>
        <v>142444</v>
      </c>
      <c r="D1287" s="12" t="str">
        <f>"14.142444/2024.00214/BC.O."</f>
        <v>14.142444/2024.00214/BC.O.</v>
      </c>
      <c r="E1287" s="12" t="str">
        <f>"200400020224"</f>
        <v>200400020224</v>
      </c>
      <c r="F1287" s="12" t="str">
        <f>"DOSIFICADOR/Y AMALGAMADOR ESTOMATOLOGICO"</f>
        <v>DOSIFICADOR/Y AMALGAMADOR ESTOMATOLOGICO</v>
      </c>
      <c r="G1287" s="12" t="s">
        <v>19</v>
      </c>
      <c r="H1287" s="12" t="s">
        <v>20</v>
      </c>
      <c r="I1287" s="12">
        <v>1</v>
      </c>
      <c r="J1287" s="12" t="s">
        <v>21</v>
      </c>
      <c r="K1287" s="12" t="s">
        <v>22</v>
      </c>
      <c r="L1287" s="13">
        <v>50</v>
      </c>
    </row>
    <row r="1288" spans="1:12" ht="18" x14ac:dyDescent="0.25">
      <c r="A1288" s="11">
        <v>1284</v>
      </c>
      <c r="B1288" s="12" t="s">
        <v>685</v>
      </c>
      <c r="C1288" s="12" t="str">
        <f t="shared" si="57"/>
        <v>142444</v>
      </c>
      <c r="D1288" s="12" t="str">
        <f>"14.142444/2024.00215/BC.O."</f>
        <v>14.142444/2024.00215/BC.O.</v>
      </c>
      <c r="E1288" s="12" t="str">
        <f>"201100004205"</f>
        <v>201100004205</v>
      </c>
      <c r="F1288" s="12" t="str">
        <f>"BASCULA/ELECTRONICA"</f>
        <v>BASCULA/ELECTRONICA</v>
      </c>
      <c r="G1288" s="12" t="s">
        <v>19</v>
      </c>
      <c r="H1288" s="12" t="s">
        <v>20</v>
      </c>
      <c r="I1288" s="12">
        <v>1</v>
      </c>
      <c r="J1288" s="12" t="s">
        <v>21</v>
      </c>
      <c r="K1288" s="12" t="s">
        <v>22</v>
      </c>
      <c r="L1288" s="13">
        <v>25</v>
      </c>
    </row>
    <row r="1289" spans="1:12" ht="18" x14ac:dyDescent="0.25">
      <c r="A1289" s="11">
        <v>1285</v>
      </c>
      <c r="B1289" s="12" t="s">
        <v>685</v>
      </c>
      <c r="C1289" s="12" t="str">
        <f t="shared" si="57"/>
        <v>142444</v>
      </c>
      <c r="D1289" s="12" t="str">
        <f>"14.142444/2024.00216/BC.O."</f>
        <v>14.142444/2024.00216/BC.O.</v>
      </c>
      <c r="E1289" s="12" t="str">
        <f>"201100004207"</f>
        <v>201100004207</v>
      </c>
      <c r="F1289" s="12" t="str">
        <f>"BASCULA/ELECTRONICA"</f>
        <v>BASCULA/ELECTRONICA</v>
      </c>
      <c r="G1289" s="12" t="s">
        <v>19</v>
      </c>
      <c r="H1289" s="12" t="s">
        <v>20</v>
      </c>
      <c r="I1289" s="12">
        <v>1</v>
      </c>
      <c r="J1289" s="12" t="s">
        <v>21</v>
      </c>
      <c r="K1289" s="12" t="s">
        <v>22</v>
      </c>
      <c r="L1289" s="13">
        <v>25</v>
      </c>
    </row>
    <row r="1290" spans="1:12" ht="18" x14ac:dyDescent="0.25">
      <c r="A1290" s="11">
        <v>1286</v>
      </c>
      <c r="B1290" s="12" t="s">
        <v>685</v>
      </c>
      <c r="C1290" s="12" t="str">
        <f t="shared" si="57"/>
        <v>142444</v>
      </c>
      <c r="D1290" s="12" t="str">
        <f>"14.142444/2024.00212/BC.O."</f>
        <v>14.142444/2024.00212/BC.O.</v>
      </c>
      <c r="E1290" s="12" t="str">
        <f>"201100006415"</f>
        <v>201100006415</v>
      </c>
      <c r="F1290" s="12" t="str">
        <f>"LAMPARA/PARA UNIDAD DENTAL"</f>
        <v>LAMPARA/PARA UNIDAD DENTAL</v>
      </c>
      <c r="G1290" s="12" t="s">
        <v>19</v>
      </c>
      <c r="H1290" s="12" t="s">
        <v>20</v>
      </c>
      <c r="I1290" s="12">
        <v>1</v>
      </c>
      <c r="J1290" s="12" t="s">
        <v>21</v>
      </c>
      <c r="K1290" s="12" t="s">
        <v>22</v>
      </c>
      <c r="L1290" s="13">
        <v>35</v>
      </c>
    </row>
    <row r="1291" spans="1:12" ht="18" x14ac:dyDescent="0.25">
      <c r="A1291" s="11">
        <v>1287</v>
      </c>
      <c r="B1291" s="12" t="s">
        <v>685</v>
      </c>
      <c r="C1291" s="12" t="str">
        <f t="shared" si="57"/>
        <v>142444</v>
      </c>
      <c r="D1291" s="12" t="str">
        <f>"14.142444/2024.00213/BC.O."</f>
        <v>14.142444/2024.00213/BC.O.</v>
      </c>
      <c r="E1291" s="12" t="str">
        <f>"201100006417"</f>
        <v>201100006417</v>
      </c>
      <c r="F1291" s="12" t="str">
        <f>"LAMPARA/PARA UNIDAD DENTAL"</f>
        <v>LAMPARA/PARA UNIDAD DENTAL</v>
      </c>
      <c r="G1291" s="12" t="s">
        <v>19</v>
      </c>
      <c r="H1291" s="12" t="s">
        <v>20</v>
      </c>
      <c r="I1291" s="12">
        <v>1</v>
      </c>
      <c r="J1291" s="12" t="s">
        <v>21</v>
      </c>
      <c r="K1291" s="12" t="s">
        <v>22</v>
      </c>
      <c r="L1291" s="13">
        <v>35</v>
      </c>
    </row>
    <row r="1292" spans="1:12" ht="18" x14ac:dyDescent="0.25">
      <c r="A1292" s="11">
        <v>1288</v>
      </c>
      <c r="B1292" s="12" t="s">
        <v>686</v>
      </c>
      <c r="C1292" s="12" t="str">
        <f t="shared" ref="C1292:C1303" si="58">"142433"</f>
        <v>142433</v>
      </c>
      <c r="D1292" s="12" t="str">
        <f>"14.142433/2024.00173/BC.O."</f>
        <v>14.142433/2024.00173/BC.O.</v>
      </c>
      <c r="E1292" s="12" t="str">
        <f>"200400020883"</f>
        <v>200400020883</v>
      </c>
      <c r="F1292" s="12" t="str">
        <f>"PLICOMETRO/PARA VALORACION NUTRICIONAL"</f>
        <v>PLICOMETRO/PARA VALORACION NUTRICIONAL</v>
      </c>
      <c r="G1292" s="12" t="s">
        <v>19</v>
      </c>
      <c r="H1292" s="12" t="s">
        <v>20</v>
      </c>
      <c r="I1292" s="12">
        <v>1</v>
      </c>
      <c r="J1292" s="12" t="s">
        <v>21</v>
      </c>
      <c r="K1292" s="12" t="s">
        <v>22</v>
      </c>
      <c r="L1292" s="13">
        <v>50</v>
      </c>
    </row>
    <row r="1293" spans="1:12" ht="18" x14ac:dyDescent="0.25">
      <c r="A1293" s="11">
        <v>1289</v>
      </c>
      <c r="B1293" s="12" t="s">
        <v>686</v>
      </c>
      <c r="C1293" s="12" t="str">
        <f t="shared" si="58"/>
        <v>142433</v>
      </c>
      <c r="D1293" s="12" t="str">
        <f>"14.142433/2024.00174/BC.O."</f>
        <v>14.142433/2024.00174/BC.O.</v>
      </c>
      <c r="E1293" s="12" t="str">
        <f>"200400020887"</f>
        <v>200400020887</v>
      </c>
      <c r="F1293" s="12" t="str">
        <f>"PLICOMETRO/PARA VALORACION NUTRICIONAL"</f>
        <v>PLICOMETRO/PARA VALORACION NUTRICIONAL</v>
      </c>
      <c r="G1293" s="12" t="s">
        <v>19</v>
      </c>
      <c r="H1293" s="12" t="s">
        <v>20</v>
      </c>
      <c r="I1293" s="12">
        <v>1</v>
      </c>
      <c r="J1293" s="12" t="s">
        <v>21</v>
      </c>
      <c r="K1293" s="12" t="s">
        <v>22</v>
      </c>
      <c r="L1293" s="13">
        <v>50</v>
      </c>
    </row>
    <row r="1294" spans="1:12" ht="18" x14ac:dyDescent="0.25">
      <c r="A1294" s="11">
        <v>1290</v>
      </c>
      <c r="B1294" s="12" t="s">
        <v>686</v>
      </c>
      <c r="C1294" s="12" t="str">
        <f t="shared" si="58"/>
        <v>142433</v>
      </c>
      <c r="D1294" s="12" t="str">
        <f>"14.142433/2024.00175/BC.O."</f>
        <v>14.142433/2024.00175/BC.O.</v>
      </c>
      <c r="E1294" s="12" t="str">
        <f>"200600017878"</f>
        <v>200600017878</v>
      </c>
      <c r="F1294" s="12" t="str">
        <f t="shared" ref="F1294:F1299" si="59">"ESTUCHE/DE DIAGNOSTICO"</f>
        <v>ESTUCHE/DE DIAGNOSTICO</v>
      </c>
      <c r="G1294" s="12" t="s">
        <v>19</v>
      </c>
      <c r="H1294" s="12" t="s">
        <v>20</v>
      </c>
      <c r="I1294" s="12">
        <v>1</v>
      </c>
      <c r="J1294" s="12" t="s">
        <v>21</v>
      </c>
      <c r="K1294" s="12" t="s">
        <v>22</v>
      </c>
      <c r="L1294" s="13">
        <v>50</v>
      </c>
    </row>
    <row r="1295" spans="1:12" ht="18" x14ac:dyDescent="0.25">
      <c r="A1295" s="11">
        <v>1291</v>
      </c>
      <c r="B1295" s="12" t="s">
        <v>686</v>
      </c>
      <c r="C1295" s="12" t="str">
        <f t="shared" si="58"/>
        <v>142433</v>
      </c>
      <c r="D1295" s="12" t="str">
        <f>"14.142433/2024.00176/BC.O."</f>
        <v>14.142433/2024.00176/BC.O.</v>
      </c>
      <c r="E1295" s="12" t="str">
        <f>"200600017880"</f>
        <v>200600017880</v>
      </c>
      <c r="F1295" s="12" t="str">
        <f t="shared" si="59"/>
        <v>ESTUCHE/DE DIAGNOSTICO</v>
      </c>
      <c r="G1295" s="12" t="s">
        <v>19</v>
      </c>
      <c r="H1295" s="12" t="s">
        <v>20</v>
      </c>
      <c r="I1295" s="12">
        <v>1</v>
      </c>
      <c r="J1295" s="12" t="s">
        <v>21</v>
      </c>
      <c r="K1295" s="12" t="s">
        <v>22</v>
      </c>
      <c r="L1295" s="13">
        <v>50</v>
      </c>
    </row>
    <row r="1296" spans="1:12" ht="18" x14ac:dyDescent="0.25">
      <c r="A1296" s="11">
        <v>1292</v>
      </c>
      <c r="B1296" s="12" t="s">
        <v>686</v>
      </c>
      <c r="C1296" s="12" t="str">
        <f t="shared" si="58"/>
        <v>142433</v>
      </c>
      <c r="D1296" s="12" t="str">
        <f>"14.142433/2024.00177/BC.O."</f>
        <v>14.142433/2024.00177/BC.O.</v>
      </c>
      <c r="E1296" s="12" t="str">
        <f>"200600017881"</f>
        <v>200600017881</v>
      </c>
      <c r="F1296" s="12" t="str">
        <f t="shared" si="59"/>
        <v>ESTUCHE/DE DIAGNOSTICO</v>
      </c>
      <c r="G1296" s="12" t="s">
        <v>19</v>
      </c>
      <c r="H1296" s="12" t="s">
        <v>20</v>
      </c>
      <c r="I1296" s="12">
        <v>1</v>
      </c>
      <c r="J1296" s="12" t="s">
        <v>21</v>
      </c>
      <c r="K1296" s="12" t="s">
        <v>22</v>
      </c>
      <c r="L1296" s="13">
        <v>50</v>
      </c>
    </row>
    <row r="1297" spans="1:12" ht="18" x14ac:dyDescent="0.25">
      <c r="A1297" s="11">
        <v>1293</v>
      </c>
      <c r="B1297" s="12" t="s">
        <v>686</v>
      </c>
      <c r="C1297" s="12" t="str">
        <f t="shared" si="58"/>
        <v>142433</v>
      </c>
      <c r="D1297" s="12" t="str">
        <f>"14.142433/2024.00178/BC.O."</f>
        <v>14.142433/2024.00178/BC.O.</v>
      </c>
      <c r="E1297" s="12" t="str">
        <f>"200600017883"</f>
        <v>200600017883</v>
      </c>
      <c r="F1297" s="12" t="str">
        <f t="shared" si="59"/>
        <v>ESTUCHE/DE DIAGNOSTICO</v>
      </c>
      <c r="G1297" s="12" t="s">
        <v>19</v>
      </c>
      <c r="H1297" s="12" t="s">
        <v>20</v>
      </c>
      <c r="I1297" s="12">
        <v>1</v>
      </c>
      <c r="J1297" s="12" t="s">
        <v>21</v>
      </c>
      <c r="K1297" s="12" t="s">
        <v>22</v>
      </c>
      <c r="L1297" s="13">
        <v>50</v>
      </c>
    </row>
    <row r="1298" spans="1:12" ht="18" x14ac:dyDescent="0.25">
      <c r="A1298" s="11">
        <v>1294</v>
      </c>
      <c r="B1298" s="12" t="s">
        <v>686</v>
      </c>
      <c r="C1298" s="12" t="str">
        <f t="shared" si="58"/>
        <v>142433</v>
      </c>
      <c r="D1298" s="12" t="str">
        <f>"14.142433/2024.00179/BC.O."</f>
        <v>14.142433/2024.00179/BC.O.</v>
      </c>
      <c r="E1298" s="12" t="str">
        <f>"200600017888"</f>
        <v>200600017888</v>
      </c>
      <c r="F1298" s="12" t="str">
        <f t="shared" si="59"/>
        <v>ESTUCHE/DE DIAGNOSTICO</v>
      </c>
      <c r="G1298" s="12" t="s">
        <v>19</v>
      </c>
      <c r="H1298" s="12" t="s">
        <v>20</v>
      </c>
      <c r="I1298" s="12">
        <v>1</v>
      </c>
      <c r="J1298" s="12" t="s">
        <v>21</v>
      </c>
      <c r="K1298" s="12" t="s">
        <v>22</v>
      </c>
      <c r="L1298" s="13">
        <v>50</v>
      </c>
    </row>
    <row r="1299" spans="1:12" ht="18" x14ac:dyDescent="0.25">
      <c r="A1299" s="11">
        <v>1295</v>
      </c>
      <c r="B1299" s="12" t="s">
        <v>686</v>
      </c>
      <c r="C1299" s="12" t="str">
        <f t="shared" si="58"/>
        <v>142433</v>
      </c>
      <c r="D1299" s="12" t="str">
        <f>"14.142433/2024.00180/BC.O."</f>
        <v>14.142433/2024.00180/BC.O.</v>
      </c>
      <c r="E1299" s="12" t="str">
        <f>"200600017891"</f>
        <v>200600017891</v>
      </c>
      <c r="F1299" s="12" t="str">
        <f t="shared" si="59"/>
        <v>ESTUCHE/DE DIAGNOSTICO</v>
      </c>
      <c r="G1299" s="12" t="s">
        <v>19</v>
      </c>
      <c r="H1299" s="12" t="s">
        <v>20</v>
      </c>
      <c r="I1299" s="12">
        <v>1</v>
      </c>
      <c r="J1299" s="12" t="s">
        <v>21</v>
      </c>
      <c r="K1299" s="12" t="s">
        <v>22</v>
      </c>
      <c r="L1299" s="13">
        <v>50</v>
      </c>
    </row>
    <row r="1300" spans="1:12" ht="18" x14ac:dyDescent="0.25">
      <c r="A1300" s="11">
        <v>1296</v>
      </c>
      <c r="B1300" s="12" t="s">
        <v>686</v>
      </c>
      <c r="C1300" s="12" t="str">
        <f t="shared" si="58"/>
        <v>142433</v>
      </c>
      <c r="D1300" s="12" t="str">
        <f>"14.142433/2024.00181/BC.O."</f>
        <v>14.142433/2024.00181/BC.O.</v>
      </c>
      <c r="E1300" s="12" t="str">
        <f>"200600052967"</f>
        <v>200600052967</v>
      </c>
      <c r="F1300" s="12" t="str">
        <f>"ENFRIADOR/Y CALENTADOR PARA AGUA ELECTRICO"</f>
        <v>ENFRIADOR/Y CALENTADOR PARA AGUA ELECTRICO</v>
      </c>
      <c r="G1300" s="12" t="s">
        <v>19</v>
      </c>
      <c r="H1300" s="12" t="s">
        <v>20</v>
      </c>
      <c r="I1300" s="12">
        <v>1</v>
      </c>
      <c r="J1300" s="12" t="s">
        <v>21</v>
      </c>
      <c r="K1300" s="12" t="s">
        <v>22</v>
      </c>
      <c r="L1300" s="13">
        <v>35</v>
      </c>
    </row>
    <row r="1301" spans="1:12" ht="18" x14ac:dyDescent="0.25">
      <c r="A1301" s="11">
        <v>1297</v>
      </c>
      <c r="B1301" s="12" t="s">
        <v>686</v>
      </c>
      <c r="C1301" s="12" t="str">
        <f t="shared" si="58"/>
        <v>142433</v>
      </c>
      <c r="D1301" s="12" t="str">
        <f>"14.142433/2024.00182/BC.O."</f>
        <v>14.142433/2024.00182/BC.O.</v>
      </c>
      <c r="E1301" s="12" t="str">
        <f>"200980010100"</f>
        <v>200980010100</v>
      </c>
      <c r="F1301" s="12" t="str">
        <f>"ESTUCHE/DE DIAGNOSTICO"</f>
        <v>ESTUCHE/DE DIAGNOSTICO</v>
      </c>
      <c r="G1301" s="12" t="s">
        <v>19</v>
      </c>
      <c r="H1301" s="12" t="s">
        <v>20</v>
      </c>
      <c r="I1301" s="12">
        <v>1</v>
      </c>
      <c r="J1301" s="12" t="s">
        <v>21</v>
      </c>
      <c r="K1301" s="12" t="s">
        <v>22</v>
      </c>
      <c r="L1301" s="13">
        <v>50</v>
      </c>
    </row>
    <row r="1302" spans="1:12" ht="18" x14ac:dyDescent="0.25">
      <c r="A1302" s="11">
        <v>1298</v>
      </c>
      <c r="B1302" s="12" t="s">
        <v>686</v>
      </c>
      <c r="C1302" s="12" t="str">
        <f t="shared" si="58"/>
        <v>142433</v>
      </c>
      <c r="D1302" s="12" t="str">
        <f>"14.142433/2024.00183/BC.O."</f>
        <v>14.142433/2024.00183/BC.O.</v>
      </c>
      <c r="E1302" s="12" t="str">
        <f>"200980010101"</f>
        <v>200980010101</v>
      </c>
      <c r="F1302" s="12" t="str">
        <f>"ESTUCHE/DE DIAGNOSTICO"</f>
        <v>ESTUCHE/DE DIAGNOSTICO</v>
      </c>
      <c r="G1302" s="12" t="s">
        <v>19</v>
      </c>
      <c r="H1302" s="12" t="s">
        <v>20</v>
      </c>
      <c r="I1302" s="12">
        <v>1</v>
      </c>
      <c r="J1302" s="12" t="s">
        <v>21</v>
      </c>
      <c r="K1302" s="12" t="s">
        <v>22</v>
      </c>
      <c r="L1302" s="13">
        <v>50</v>
      </c>
    </row>
    <row r="1303" spans="1:12" ht="18" x14ac:dyDescent="0.25">
      <c r="A1303" s="11">
        <v>1299</v>
      </c>
      <c r="B1303" s="12" t="s">
        <v>686</v>
      </c>
      <c r="C1303" s="12" t="str">
        <f t="shared" si="58"/>
        <v>142433</v>
      </c>
      <c r="D1303" s="12" t="str">
        <f>"14.142433/2024.00184/BC.O."</f>
        <v>14.142433/2024.00184/BC.O.</v>
      </c>
      <c r="E1303" s="12" t="str">
        <f>"200980010102"</f>
        <v>200980010102</v>
      </c>
      <c r="F1303" s="12" t="str">
        <f>"ESTUCHE/DE DIAGNOSTICO"</f>
        <v>ESTUCHE/DE DIAGNOSTICO</v>
      </c>
      <c r="G1303" s="12" t="s">
        <v>19</v>
      </c>
      <c r="H1303" s="12" t="s">
        <v>20</v>
      </c>
      <c r="I1303" s="12">
        <v>1</v>
      </c>
      <c r="J1303" s="12" t="s">
        <v>21</v>
      </c>
      <c r="K1303" s="12" t="s">
        <v>22</v>
      </c>
      <c r="L1303" s="13">
        <v>50</v>
      </c>
    </row>
    <row r="1304" spans="1:12" ht="18" x14ac:dyDescent="0.25">
      <c r="A1304" s="11">
        <v>1300</v>
      </c>
      <c r="B1304" s="12" t="s">
        <v>687</v>
      </c>
      <c r="C1304" s="12" t="str">
        <f>"142497"</f>
        <v>142497</v>
      </c>
      <c r="D1304" s="12" t="str">
        <f>"14.142497/2024.00001/BC.I."</f>
        <v>14.142497/2024.00001/BC.I.</v>
      </c>
      <c r="E1304" s="12" t="str">
        <f>"200600053789"</f>
        <v>200600053789</v>
      </c>
      <c r="F1304" s="12" t="str">
        <f>"IMPRESORA/LASER PARA COMPUTACION"</f>
        <v>IMPRESORA/LASER PARA COMPUTACION</v>
      </c>
      <c r="G1304" s="12" t="s">
        <v>19</v>
      </c>
      <c r="H1304" s="12" t="s">
        <v>20</v>
      </c>
      <c r="I1304" s="12">
        <v>1</v>
      </c>
      <c r="J1304" s="12" t="s">
        <v>21</v>
      </c>
      <c r="K1304" s="12" t="s">
        <v>22</v>
      </c>
      <c r="L1304" s="13">
        <v>30</v>
      </c>
    </row>
    <row r="1305" spans="1:12" ht="18" x14ac:dyDescent="0.25">
      <c r="A1305" s="11">
        <v>1301</v>
      </c>
      <c r="B1305" s="12" t="s">
        <v>688</v>
      </c>
      <c r="C1305" s="12" t="str">
        <f>"1424A1"</f>
        <v>1424A1</v>
      </c>
      <c r="D1305" s="12" t="str">
        <f>"14.1424A1/2024.00002/BC.I."</f>
        <v>14.1424A1/2024.00002/BC.I.</v>
      </c>
      <c r="E1305" s="12" t="str">
        <f>"201080026951"</f>
        <v>201080026951</v>
      </c>
      <c r="F1305" s="12" t="str">
        <f>"COMPUTADORA/MICROCOMPUTADORA"</f>
        <v>COMPUTADORA/MICROCOMPUTADORA</v>
      </c>
      <c r="G1305" s="12" t="s">
        <v>19</v>
      </c>
      <c r="H1305" s="12" t="s">
        <v>20</v>
      </c>
      <c r="I1305" s="12">
        <v>1</v>
      </c>
      <c r="J1305" s="12" t="s">
        <v>21</v>
      </c>
      <c r="K1305" s="12" t="s">
        <v>22</v>
      </c>
      <c r="L1305" s="13">
        <v>35</v>
      </c>
    </row>
    <row r="1306" spans="1:12" ht="18" x14ac:dyDescent="0.25">
      <c r="A1306" s="11">
        <v>1302</v>
      </c>
      <c r="B1306" s="12" t="s">
        <v>688</v>
      </c>
      <c r="C1306" s="12" t="str">
        <f>"1424A1"</f>
        <v>1424A1</v>
      </c>
      <c r="D1306" s="12" t="str">
        <f>"14.1424A1/2024.00001/BC.I."</f>
        <v>14.1424A1/2024.00001/BC.I.</v>
      </c>
      <c r="E1306" s="12" t="str">
        <f>"201080026981"</f>
        <v>201080026981</v>
      </c>
      <c r="F1306" s="12" t="str">
        <f>"COMPUTADORA/MICROCOMPUTADORA"</f>
        <v>COMPUTADORA/MICROCOMPUTADORA</v>
      </c>
      <c r="G1306" s="12" t="s">
        <v>19</v>
      </c>
      <c r="H1306" s="12" t="s">
        <v>20</v>
      </c>
      <c r="I1306" s="12">
        <v>1</v>
      </c>
      <c r="J1306" s="12" t="s">
        <v>21</v>
      </c>
      <c r="K1306" s="12" t="s">
        <v>22</v>
      </c>
      <c r="L1306" s="13">
        <v>35</v>
      </c>
    </row>
    <row r="1307" spans="1:12" ht="18" x14ac:dyDescent="0.25">
      <c r="A1307" s="11">
        <v>1303</v>
      </c>
      <c r="B1307" s="12" t="s">
        <v>688</v>
      </c>
      <c r="C1307" s="12" t="str">
        <f>"1424A1"</f>
        <v>1424A1</v>
      </c>
      <c r="D1307" s="12" t="str">
        <f>"14.1424A1/2024.00003/BC.I."</f>
        <v>14.1424A1/2024.00003/BC.I.</v>
      </c>
      <c r="E1307" s="12" t="str">
        <f>"201080059609"</f>
        <v>201080059609</v>
      </c>
      <c r="F1307" s="12" t="str">
        <f>"COMPUTADORA/MICROCOMPUTADORA"</f>
        <v>COMPUTADORA/MICROCOMPUTADORA</v>
      </c>
      <c r="G1307" s="12" t="s">
        <v>19</v>
      </c>
      <c r="H1307" s="12" t="s">
        <v>20</v>
      </c>
      <c r="I1307" s="12">
        <v>1</v>
      </c>
      <c r="J1307" s="12" t="s">
        <v>21</v>
      </c>
      <c r="K1307" s="12" t="s">
        <v>22</v>
      </c>
      <c r="L1307" s="13">
        <v>35</v>
      </c>
    </row>
    <row r="1308" spans="1:12" s="35" customFormat="1" ht="50.25" customHeight="1" thickBot="1" x14ac:dyDescent="0.35">
      <c r="A1308" s="32">
        <v>1304</v>
      </c>
      <c r="B1308" s="33" t="s">
        <v>688</v>
      </c>
      <c r="C1308" s="33" t="str">
        <f>"1424A1"</f>
        <v>1424A1</v>
      </c>
      <c r="D1308" s="33" t="str">
        <f>"14.1424A1/2024.00004/BC.I."</f>
        <v>14.1424A1/2024.00004/BC.I.</v>
      </c>
      <c r="E1308" s="33" t="str">
        <f>"201080059850"</f>
        <v>201080059850</v>
      </c>
      <c r="F1308" s="33" t="str">
        <f>"COMPUTADORA/MICROCOMPUTADORA"</f>
        <v>COMPUTADORA/MICROCOMPUTADORA</v>
      </c>
      <c r="G1308" s="33" t="s">
        <v>19</v>
      </c>
      <c r="H1308" s="33" t="s">
        <v>20</v>
      </c>
      <c r="I1308" s="33">
        <v>1</v>
      </c>
      <c r="J1308" s="33" t="s">
        <v>21</v>
      </c>
      <c r="K1308" s="33" t="s">
        <v>22</v>
      </c>
      <c r="L1308" s="34">
        <v>35</v>
      </c>
    </row>
    <row r="1309" spans="1:12" ht="18.75" thickBot="1" x14ac:dyDescent="0.3">
      <c r="G1309" s="1"/>
      <c r="L1309" s="36">
        <f>SUM(L5:L1308)</f>
        <v>96115</v>
      </c>
    </row>
    <row r="1310" spans="1:12" x14ac:dyDescent="0.25">
      <c r="G1310" s="1"/>
    </row>
    <row r="1311" spans="1:12" x14ac:dyDescent="0.25">
      <c r="G1311" s="1"/>
    </row>
    <row r="1312" spans="1:12" x14ac:dyDescent="0.25">
      <c r="G1312" s="1"/>
    </row>
    <row r="1313" spans="7:7" x14ac:dyDescent="0.25">
      <c r="G1313" s="1"/>
    </row>
    <row r="1314" spans="7:7" x14ac:dyDescent="0.25">
      <c r="G1314" s="1"/>
    </row>
    <row r="1315" spans="7:7" x14ac:dyDescent="0.25">
      <c r="G1315" s="1"/>
    </row>
    <row r="1316" spans="7:7" x14ac:dyDescent="0.25">
      <c r="G1316" s="1"/>
    </row>
    <row r="1317" spans="7:7" x14ac:dyDescent="0.25">
      <c r="G1317" s="1"/>
    </row>
    <row r="1318" spans="7:7" x14ac:dyDescent="0.25">
      <c r="G1318" s="1"/>
    </row>
    <row r="1319" spans="7:7" x14ac:dyDescent="0.25">
      <c r="G1319" s="1"/>
    </row>
    <row r="1320" spans="7:7" x14ac:dyDescent="0.25">
      <c r="G1320" s="1"/>
    </row>
    <row r="1321" spans="7:7" x14ac:dyDescent="0.25">
      <c r="G1321" s="1"/>
    </row>
    <row r="1322" spans="7:7" x14ac:dyDescent="0.25">
      <c r="G1322" s="1"/>
    </row>
    <row r="1323" spans="7:7" x14ac:dyDescent="0.25">
      <c r="G1323" s="1"/>
    </row>
    <row r="1324" spans="7:7" x14ac:dyDescent="0.25">
      <c r="G1324" s="1"/>
    </row>
    <row r="1325" spans="7:7" x14ac:dyDescent="0.25">
      <c r="G1325" s="1"/>
    </row>
    <row r="1326" spans="7:7" x14ac:dyDescent="0.25">
      <c r="G1326" s="1"/>
    </row>
    <row r="1327" spans="7:7" x14ac:dyDescent="0.25">
      <c r="G1327" s="1"/>
    </row>
    <row r="1328" spans="7:7" x14ac:dyDescent="0.25">
      <c r="G1328" s="1"/>
    </row>
    <row r="1329" spans="7:7" x14ac:dyDescent="0.25">
      <c r="G1329" s="1"/>
    </row>
    <row r="1330" spans="7:7" x14ac:dyDescent="0.25">
      <c r="G1330" s="1"/>
    </row>
    <row r="1331" spans="7:7" x14ac:dyDescent="0.25">
      <c r="G1331" s="1"/>
    </row>
    <row r="1332" spans="7:7" x14ac:dyDescent="0.25">
      <c r="G1332" s="1"/>
    </row>
    <row r="1333" spans="7:7" x14ac:dyDescent="0.25">
      <c r="G1333" s="1"/>
    </row>
    <row r="1334" spans="7:7" x14ac:dyDescent="0.25">
      <c r="G1334" s="1"/>
    </row>
    <row r="1335" spans="7:7" x14ac:dyDescent="0.25">
      <c r="G1335" s="1"/>
    </row>
    <row r="1336" spans="7:7" x14ac:dyDescent="0.25">
      <c r="G1336" s="1"/>
    </row>
    <row r="1337" spans="7:7" x14ac:dyDescent="0.25">
      <c r="G1337" s="1"/>
    </row>
    <row r="1338" spans="7:7" x14ac:dyDescent="0.25">
      <c r="G1338" s="1"/>
    </row>
    <row r="1339" spans="7:7" x14ac:dyDescent="0.25">
      <c r="G1339" s="1"/>
    </row>
    <row r="1340" spans="7:7" x14ac:dyDescent="0.25">
      <c r="G1340" s="1"/>
    </row>
    <row r="1341" spans="7:7" x14ac:dyDescent="0.25">
      <c r="G1341" s="1"/>
    </row>
    <row r="1342" spans="7:7" x14ac:dyDescent="0.25">
      <c r="G1342" s="1"/>
    </row>
    <row r="1343" spans="7:7" x14ac:dyDescent="0.25">
      <c r="G1343" s="1"/>
    </row>
    <row r="1344" spans="7:7" x14ac:dyDescent="0.25">
      <c r="G1344" s="1"/>
    </row>
    <row r="1345" spans="7:7" x14ac:dyDescent="0.25">
      <c r="G1345" s="1"/>
    </row>
    <row r="1346" spans="7:7" x14ac:dyDescent="0.25">
      <c r="G1346" s="1"/>
    </row>
    <row r="1347" spans="7:7" x14ac:dyDescent="0.25">
      <c r="G1347" s="1"/>
    </row>
    <row r="1348" spans="7:7" x14ac:dyDescent="0.25">
      <c r="G1348" s="1"/>
    </row>
    <row r="1349" spans="7:7" x14ac:dyDescent="0.25">
      <c r="G1349" s="1"/>
    </row>
    <row r="1350" spans="7:7" x14ac:dyDescent="0.25">
      <c r="G1350" s="1"/>
    </row>
    <row r="1351" spans="7:7" x14ac:dyDescent="0.25">
      <c r="G1351" s="1"/>
    </row>
    <row r="1352" spans="7:7" x14ac:dyDescent="0.25">
      <c r="G1352" s="1"/>
    </row>
    <row r="1353" spans="7:7" x14ac:dyDescent="0.25">
      <c r="G1353" s="1"/>
    </row>
    <row r="1354" spans="7:7" x14ac:dyDescent="0.25">
      <c r="G1354" s="1"/>
    </row>
    <row r="1355" spans="7:7" x14ac:dyDescent="0.25">
      <c r="G1355" s="1"/>
    </row>
    <row r="1356" spans="7:7" x14ac:dyDescent="0.25">
      <c r="G1356" s="1"/>
    </row>
    <row r="1357" spans="7:7" x14ac:dyDescent="0.25">
      <c r="G1357" s="1"/>
    </row>
    <row r="1358" spans="7:7" x14ac:dyDescent="0.25">
      <c r="G1358" s="1"/>
    </row>
    <row r="1359" spans="7:7" x14ac:dyDescent="0.25">
      <c r="G1359" s="1"/>
    </row>
    <row r="1360" spans="7:7" x14ac:dyDescent="0.25">
      <c r="G1360" s="1"/>
    </row>
    <row r="1361" spans="7:7" x14ac:dyDescent="0.25">
      <c r="G1361" s="1"/>
    </row>
    <row r="1362" spans="7:7" x14ac:dyDescent="0.25">
      <c r="G1362" s="1"/>
    </row>
    <row r="1363" spans="7:7" x14ac:dyDescent="0.25">
      <c r="G1363" s="1"/>
    </row>
    <row r="1364" spans="7:7" x14ac:dyDescent="0.25">
      <c r="G1364" s="1"/>
    </row>
    <row r="1365" spans="7:7" x14ac:dyDescent="0.25">
      <c r="G1365" s="1"/>
    </row>
    <row r="1366" spans="7:7" x14ac:dyDescent="0.25">
      <c r="G1366" s="1"/>
    </row>
    <row r="1367" spans="7:7" x14ac:dyDescent="0.25">
      <c r="G1367" s="1"/>
    </row>
    <row r="1368" spans="7:7" x14ac:dyDescent="0.25">
      <c r="G1368" s="1"/>
    </row>
    <row r="1369" spans="7:7" x14ac:dyDescent="0.25">
      <c r="G1369" s="1"/>
    </row>
    <row r="1370" spans="7:7" x14ac:dyDescent="0.25">
      <c r="G1370" s="1"/>
    </row>
    <row r="1371" spans="7:7" x14ac:dyDescent="0.25">
      <c r="G1371" s="1"/>
    </row>
    <row r="1372" spans="7:7" x14ac:dyDescent="0.25">
      <c r="G1372" s="1"/>
    </row>
    <row r="1373" spans="7:7" x14ac:dyDescent="0.25">
      <c r="G1373" s="1"/>
    </row>
    <row r="1374" spans="7:7" x14ac:dyDescent="0.25">
      <c r="G1374" s="1"/>
    </row>
    <row r="1375" spans="7:7" x14ac:dyDescent="0.25">
      <c r="G1375" s="1"/>
    </row>
    <row r="1376" spans="7:7" x14ac:dyDescent="0.25">
      <c r="G1376" s="1"/>
    </row>
    <row r="1377" spans="7:7" x14ac:dyDescent="0.25">
      <c r="G1377" s="1"/>
    </row>
    <row r="1378" spans="7:7" x14ac:dyDescent="0.25">
      <c r="G1378" s="1"/>
    </row>
    <row r="1379" spans="7:7" x14ac:dyDescent="0.25">
      <c r="G1379" s="1"/>
    </row>
    <row r="1380" spans="7:7" x14ac:dyDescent="0.25">
      <c r="G1380" s="1"/>
    </row>
    <row r="1381" spans="7:7" x14ac:dyDescent="0.25">
      <c r="G1381" s="1"/>
    </row>
    <row r="1382" spans="7:7" x14ac:dyDescent="0.25">
      <c r="G1382" s="1"/>
    </row>
    <row r="1383" spans="7:7" x14ac:dyDescent="0.25">
      <c r="G1383" s="1"/>
    </row>
    <row r="1384" spans="7:7" x14ac:dyDescent="0.25">
      <c r="G1384" s="1"/>
    </row>
    <row r="1385" spans="7:7" x14ac:dyDescent="0.25">
      <c r="G1385" s="1"/>
    </row>
    <row r="1386" spans="7:7" x14ac:dyDescent="0.25">
      <c r="G1386" s="1"/>
    </row>
    <row r="1387" spans="7:7" x14ac:dyDescent="0.25">
      <c r="G1387" s="1"/>
    </row>
    <row r="1388" spans="7:7" x14ac:dyDescent="0.25">
      <c r="G1388" s="1"/>
    </row>
    <row r="1389" spans="7:7" x14ac:dyDescent="0.25">
      <c r="G1389" s="1"/>
    </row>
    <row r="1390" spans="7:7" x14ac:dyDescent="0.25">
      <c r="G1390" s="1"/>
    </row>
    <row r="1391" spans="7:7" x14ac:dyDescent="0.25">
      <c r="G1391" s="1"/>
    </row>
    <row r="1392" spans="7:7" x14ac:dyDescent="0.25">
      <c r="G1392" s="1"/>
    </row>
    <row r="1393" spans="7:7" x14ac:dyDescent="0.25">
      <c r="G1393" s="1"/>
    </row>
    <row r="1394" spans="7:7" x14ac:dyDescent="0.25">
      <c r="G1394" s="1"/>
    </row>
    <row r="1395" spans="7:7" x14ac:dyDescent="0.25">
      <c r="G1395" s="1"/>
    </row>
    <row r="1396" spans="7:7" x14ac:dyDescent="0.25">
      <c r="G1396" s="1"/>
    </row>
    <row r="1397" spans="7:7" x14ac:dyDescent="0.25">
      <c r="G1397" s="1"/>
    </row>
    <row r="1398" spans="7:7" x14ac:dyDescent="0.25">
      <c r="G1398" s="1"/>
    </row>
    <row r="1399" spans="7:7" x14ac:dyDescent="0.25">
      <c r="G1399" s="1"/>
    </row>
    <row r="1400" spans="7:7" x14ac:dyDescent="0.25">
      <c r="G1400" s="1"/>
    </row>
    <row r="1401" spans="7:7" x14ac:dyDescent="0.25">
      <c r="G1401" s="1"/>
    </row>
    <row r="1402" spans="7:7" x14ac:dyDescent="0.25">
      <c r="G1402" s="1"/>
    </row>
    <row r="1403" spans="7:7" x14ac:dyDescent="0.25">
      <c r="G1403" s="1"/>
    </row>
    <row r="1404" spans="7:7" x14ac:dyDescent="0.25">
      <c r="G1404" s="1"/>
    </row>
    <row r="1405" spans="7:7" x14ac:dyDescent="0.25">
      <c r="G1405" s="1"/>
    </row>
    <row r="1406" spans="7:7" x14ac:dyDescent="0.25">
      <c r="G1406" s="1"/>
    </row>
    <row r="1407" spans="7:7" x14ac:dyDescent="0.25">
      <c r="G1407" s="1"/>
    </row>
    <row r="1408" spans="7:7" x14ac:dyDescent="0.25">
      <c r="G1408" s="1"/>
    </row>
    <row r="1409" spans="7:7" x14ac:dyDescent="0.25">
      <c r="G1409" s="1"/>
    </row>
    <row r="1410" spans="7:7" x14ac:dyDescent="0.25">
      <c r="G1410" s="1"/>
    </row>
    <row r="1411" spans="7:7" x14ac:dyDescent="0.25">
      <c r="G1411" s="1"/>
    </row>
    <row r="1412" spans="7:7" x14ac:dyDescent="0.25">
      <c r="G1412" s="1"/>
    </row>
    <row r="1413" spans="7:7" x14ac:dyDescent="0.25">
      <c r="G1413" s="1"/>
    </row>
    <row r="1414" spans="7:7" x14ac:dyDescent="0.25">
      <c r="G1414" s="1"/>
    </row>
    <row r="1415" spans="7:7" x14ac:dyDescent="0.25">
      <c r="G1415" s="1"/>
    </row>
    <row r="1416" spans="7:7" x14ac:dyDescent="0.25">
      <c r="G1416" s="1"/>
    </row>
    <row r="1417" spans="7:7" x14ac:dyDescent="0.25">
      <c r="G1417" s="1"/>
    </row>
    <row r="1418" spans="7:7" x14ac:dyDescent="0.25">
      <c r="G1418" s="1"/>
    </row>
    <row r="1419" spans="7:7" x14ac:dyDescent="0.25">
      <c r="G1419" s="1"/>
    </row>
    <row r="1420" spans="7:7" x14ac:dyDescent="0.25">
      <c r="G1420" s="1"/>
    </row>
    <row r="1421" spans="7:7" x14ac:dyDescent="0.25">
      <c r="G1421" s="1"/>
    </row>
    <row r="1422" spans="7:7" x14ac:dyDescent="0.25">
      <c r="G1422" s="1"/>
    </row>
    <row r="1423" spans="7:7" x14ac:dyDescent="0.25">
      <c r="G1423" s="1"/>
    </row>
    <row r="1424" spans="7:7" x14ac:dyDescent="0.25">
      <c r="G1424" s="1"/>
    </row>
    <row r="1425" spans="7:7" x14ac:dyDescent="0.25">
      <c r="G1425" s="1"/>
    </row>
    <row r="1426" spans="7:7" x14ac:dyDescent="0.25">
      <c r="G1426" s="1"/>
    </row>
    <row r="1427" spans="7:7" x14ac:dyDescent="0.25">
      <c r="G1427" s="1"/>
    </row>
    <row r="1428" spans="7:7" x14ac:dyDescent="0.25">
      <c r="G1428" s="1"/>
    </row>
    <row r="1429" spans="7:7" x14ac:dyDescent="0.25">
      <c r="G1429" s="1"/>
    </row>
    <row r="1430" spans="7:7" x14ac:dyDescent="0.25">
      <c r="G1430" s="1"/>
    </row>
    <row r="1431" spans="7:7" x14ac:dyDescent="0.25">
      <c r="G1431" s="1"/>
    </row>
    <row r="1432" spans="7:7" x14ac:dyDescent="0.25">
      <c r="G1432" s="1"/>
    </row>
    <row r="1433" spans="7:7" x14ac:dyDescent="0.25">
      <c r="G1433" s="1"/>
    </row>
    <row r="1434" spans="7:7" x14ac:dyDescent="0.25">
      <c r="G1434" s="1"/>
    </row>
    <row r="1435" spans="7:7" x14ac:dyDescent="0.25">
      <c r="G1435" s="1"/>
    </row>
    <row r="1436" spans="7:7" x14ac:dyDescent="0.25">
      <c r="G1436" s="1"/>
    </row>
    <row r="1437" spans="7:7" x14ac:dyDescent="0.25">
      <c r="G1437" s="1"/>
    </row>
    <row r="1438" spans="7:7" x14ac:dyDescent="0.25">
      <c r="G1438" s="1"/>
    </row>
    <row r="1439" spans="7:7" x14ac:dyDescent="0.25">
      <c r="G1439" s="1"/>
    </row>
    <row r="1440" spans="7:7" x14ac:dyDescent="0.25">
      <c r="G1440" s="1"/>
    </row>
    <row r="1441" spans="7:7" x14ac:dyDescent="0.25">
      <c r="G1441" s="1"/>
    </row>
    <row r="1442" spans="7:7" x14ac:dyDescent="0.25">
      <c r="G1442" s="1"/>
    </row>
    <row r="1443" spans="7:7" x14ac:dyDescent="0.25">
      <c r="G1443" s="1"/>
    </row>
    <row r="1444" spans="7:7" x14ac:dyDescent="0.25">
      <c r="G1444" s="1"/>
    </row>
    <row r="1445" spans="7:7" x14ac:dyDescent="0.25">
      <c r="G1445" s="1"/>
    </row>
    <row r="1446" spans="7:7" x14ac:dyDescent="0.25">
      <c r="G1446" s="1"/>
    </row>
    <row r="1447" spans="7:7" x14ac:dyDescent="0.25">
      <c r="G1447" s="1"/>
    </row>
    <row r="1448" spans="7:7" x14ac:dyDescent="0.25">
      <c r="G1448" s="1"/>
    </row>
    <row r="1449" spans="7:7" x14ac:dyDescent="0.25">
      <c r="G1449" s="1"/>
    </row>
    <row r="1450" spans="7:7" x14ac:dyDescent="0.25">
      <c r="G1450" s="1"/>
    </row>
    <row r="1451" spans="7:7" x14ac:dyDescent="0.25">
      <c r="G1451" s="1"/>
    </row>
    <row r="1452" spans="7:7" x14ac:dyDescent="0.25">
      <c r="G1452" s="1"/>
    </row>
    <row r="1453" spans="7:7" x14ac:dyDescent="0.25">
      <c r="G1453" s="1"/>
    </row>
    <row r="1454" spans="7:7" x14ac:dyDescent="0.25">
      <c r="G1454" s="1"/>
    </row>
    <row r="1455" spans="7:7" x14ac:dyDescent="0.25">
      <c r="G1455" s="1"/>
    </row>
    <row r="1456" spans="7:7" x14ac:dyDescent="0.25">
      <c r="G1456" s="1"/>
    </row>
    <row r="1457" spans="7:7" x14ac:dyDescent="0.25">
      <c r="G1457" s="1"/>
    </row>
    <row r="1458" spans="7:7" x14ac:dyDescent="0.25">
      <c r="G1458" s="1"/>
    </row>
    <row r="1459" spans="7:7" x14ac:dyDescent="0.25">
      <c r="G1459" s="1"/>
    </row>
    <row r="1460" spans="7:7" x14ac:dyDescent="0.25">
      <c r="G1460" s="1"/>
    </row>
    <row r="1461" spans="7:7" x14ac:dyDescent="0.25">
      <c r="G1461" s="1"/>
    </row>
    <row r="1462" spans="7:7" x14ac:dyDescent="0.25">
      <c r="G1462" s="1"/>
    </row>
    <row r="1463" spans="7:7" x14ac:dyDescent="0.25">
      <c r="G1463" s="1"/>
    </row>
    <row r="1464" spans="7:7" x14ac:dyDescent="0.25">
      <c r="G1464" s="1"/>
    </row>
    <row r="1465" spans="7:7" x14ac:dyDescent="0.25">
      <c r="G1465" s="1"/>
    </row>
    <row r="1466" spans="7:7" x14ac:dyDescent="0.25">
      <c r="G1466" s="1"/>
    </row>
    <row r="1467" spans="7:7" x14ac:dyDescent="0.25">
      <c r="G1467" s="1"/>
    </row>
    <row r="1468" spans="7:7" x14ac:dyDescent="0.25">
      <c r="G1468" s="1"/>
    </row>
    <row r="1469" spans="7:7" x14ac:dyDescent="0.25">
      <c r="G1469" s="1"/>
    </row>
    <row r="1470" spans="7:7" x14ac:dyDescent="0.25">
      <c r="G1470" s="1"/>
    </row>
    <row r="1471" spans="7:7" x14ac:dyDescent="0.25">
      <c r="G1471" s="1"/>
    </row>
    <row r="1472" spans="7:7" x14ac:dyDescent="0.25">
      <c r="G1472" s="1"/>
    </row>
    <row r="1473" spans="7:7" x14ac:dyDescent="0.25">
      <c r="G1473" s="1"/>
    </row>
    <row r="1474" spans="7:7" x14ac:dyDescent="0.25">
      <c r="G1474" s="1"/>
    </row>
    <row r="1475" spans="7:7" x14ac:dyDescent="0.25">
      <c r="G1475" s="1"/>
    </row>
    <row r="1476" spans="7:7" x14ac:dyDescent="0.25">
      <c r="G1476" s="1"/>
    </row>
    <row r="1477" spans="7:7" x14ac:dyDescent="0.25">
      <c r="G1477" s="1"/>
    </row>
    <row r="1478" spans="7:7" x14ac:dyDescent="0.25">
      <c r="G1478" s="1"/>
    </row>
    <row r="1479" spans="7:7" x14ac:dyDescent="0.25">
      <c r="G1479" s="1"/>
    </row>
    <row r="1480" spans="7:7" x14ac:dyDescent="0.25">
      <c r="G1480" s="1"/>
    </row>
    <row r="1481" spans="7:7" x14ac:dyDescent="0.25">
      <c r="G1481" s="1"/>
    </row>
    <row r="1482" spans="7:7" x14ac:dyDescent="0.25">
      <c r="G1482" s="1"/>
    </row>
    <row r="1483" spans="7:7" x14ac:dyDescent="0.25">
      <c r="G1483" s="1"/>
    </row>
    <row r="1484" spans="7:7" x14ac:dyDescent="0.25">
      <c r="G1484" s="1"/>
    </row>
    <row r="1485" spans="7:7" x14ac:dyDescent="0.25">
      <c r="G1485" s="1"/>
    </row>
    <row r="1486" spans="7:7" x14ac:dyDescent="0.25">
      <c r="G1486" s="1"/>
    </row>
    <row r="1487" spans="7:7" x14ac:dyDescent="0.25">
      <c r="G1487" s="1"/>
    </row>
    <row r="1488" spans="7:7" x14ac:dyDescent="0.25">
      <c r="G1488" s="1"/>
    </row>
    <row r="1489" spans="7:7" x14ac:dyDescent="0.25">
      <c r="G1489" s="1"/>
    </row>
    <row r="1490" spans="7:7" x14ac:dyDescent="0.25">
      <c r="G1490" s="1"/>
    </row>
    <row r="1491" spans="7:7" x14ac:dyDescent="0.25">
      <c r="G1491" s="1"/>
    </row>
    <row r="1492" spans="7:7" x14ac:dyDescent="0.25">
      <c r="G1492" s="1"/>
    </row>
    <row r="1493" spans="7:7" x14ac:dyDescent="0.25">
      <c r="G1493" s="1"/>
    </row>
    <row r="1494" spans="7:7" x14ac:dyDescent="0.25">
      <c r="G1494" s="1"/>
    </row>
    <row r="1495" spans="7:7" x14ac:dyDescent="0.25">
      <c r="G1495" s="1"/>
    </row>
    <row r="1496" spans="7:7" x14ac:dyDescent="0.25">
      <c r="G1496" s="1"/>
    </row>
    <row r="1497" spans="7:7" x14ac:dyDescent="0.25">
      <c r="G1497" s="1"/>
    </row>
    <row r="1498" spans="7:7" x14ac:dyDescent="0.25">
      <c r="G1498" s="1"/>
    </row>
    <row r="1499" spans="7:7" x14ac:dyDescent="0.25">
      <c r="G1499" s="1"/>
    </row>
    <row r="1500" spans="7:7" x14ac:dyDescent="0.25">
      <c r="G1500" s="1"/>
    </row>
    <row r="1501" spans="7:7" x14ac:dyDescent="0.25">
      <c r="G1501" s="1"/>
    </row>
    <row r="1502" spans="7:7" x14ac:dyDescent="0.25">
      <c r="G1502" s="1"/>
    </row>
    <row r="1503" spans="7:7" x14ac:dyDescent="0.25">
      <c r="G1503" s="1"/>
    </row>
    <row r="1504" spans="7:7" x14ac:dyDescent="0.25">
      <c r="G1504" s="1"/>
    </row>
    <row r="1505" spans="7:7" x14ac:dyDescent="0.25">
      <c r="G1505" s="1"/>
    </row>
    <row r="1506" spans="7:7" x14ac:dyDescent="0.25">
      <c r="G1506" s="1"/>
    </row>
    <row r="1507" spans="7:7" x14ac:dyDescent="0.25">
      <c r="G1507" s="1"/>
    </row>
    <row r="1508" spans="7:7" x14ac:dyDescent="0.25">
      <c r="G1508" s="1"/>
    </row>
    <row r="1509" spans="7:7" x14ac:dyDescent="0.25">
      <c r="G1509" s="1"/>
    </row>
    <row r="1510" spans="7:7" x14ac:dyDescent="0.25">
      <c r="G1510" s="1"/>
    </row>
    <row r="1511" spans="7:7" x14ac:dyDescent="0.25">
      <c r="G1511" s="1"/>
    </row>
    <row r="1512" spans="7:7" x14ac:dyDescent="0.25">
      <c r="G1512" s="1"/>
    </row>
    <row r="1513" spans="7:7" x14ac:dyDescent="0.25">
      <c r="G1513" s="1"/>
    </row>
    <row r="1514" spans="7:7" x14ac:dyDescent="0.25">
      <c r="G1514" s="1"/>
    </row>
    <row r="1515" spans="7:7" x14ac:dyDescent="0.25">
      <c r="G1515" s="1"/>
    </row>
    <row r="1516" spans="7:7" x14ac:dyDescent="0.25">
      <c r="G1516" s="1"/>
    </row>
    <row r="1517" spans="7:7" x14ac:dyDescent="0.25">
      <c r="G1517" s="1"/>
    </row>
    <row r="1518" spans="7:7" x14ac:dyDescent="0.25">
      <c r="G1518" s="1"/>
    </row>
    <row r="1519" spans="7:7" x14ac:dyDescent="0.25">
      <c r="G1519" s="1"/>
    </row>
    <row r="1520" spans="7:7" x14ac:dyDescent="0.25">
      <c r="G1520" s="1"/>
    </row>
    <row r="1521" spans="7:7" x14ac:dyDescent="0.25">
      <c r="G1521" s="1"/>
    </row>
    <row r="1522" spans="7:7" x14ac:dyDescent="0.25">
      <c r="G1522" s="1"/>
    </row>
    <row r="1523" spans="7:7" x14ac:dyDescent="0.25">
      <c r="G1523" s="1"/>
    </row>
    <row r="1524" spans="7:7" x14ac:dyDescent="0.25">
      <c r="G1524" s="1"/>
    </row>
    <row r="1525" spans="7:7" x14ac:dyDescent="0.25">
      <c r="G1525" s="1"/>
    </row>
    <row r="1526" spans="7:7" x14ac:dyDescent="0.25">
      <c r="G1526" s="1"/>
    </row>
    <row r="1527" spans="7:7" x14ac:dyDescent="0.25">
      <c r="G1527" s="1"/>
    </row>
    <row r="1528" spans="7:7" x14ac:dyDescent="0.25">
      <c r="G1528" s="1"/>
    </row>
    <row r="1529" spans="7:7" x14ac:dyDescent="0.25">
      <c r="G1529" s="1"/>
    </row>
    <row r="1530" spans="7:7" x14ac:dyDescent="0.25">
      <c r="G1530" s="1"/>
    </row>
    <row r="1531" spans="7:7" x14ac:dyDescent="0.25">
      <c r="G1531" s="1"/>
    </row>
    <row r="1532" spans="7:7" x14ac:dyDescent="0.25">
      <c r="G1532" s="1"/>
    </row>
    <row r="1533" spans="7:7" x14ac:dyDescent="0.25">
      <c r="G1533" s="1"/>
    </row>
    <row r="1534" spans="7:7" x14ac:dyDescent="0.25">
      <c r="G1534" s="1"/>
    </row>
    <row r="1535" spans="7:7" x14ac:dyDescent="0.25">
      <c r="G1535" s="1"/>
    </row>
    <row r="1536" spans="7:7" x14ac:dyDescent="0.25">
      <c r="G1536" s="1"/>
    </row>
    <row r="1537" spans="7:7" x14ac:dyDescent="0.25">
      <c r="G1537" s="1"/>
    </row>
    <row r="1538" spans="7:7" x14ac:dyDescent="0.25">
      <c r="G1538" s="1"/>
    </row>
    <row r="1539" spans="7:7" x14ac:dyDescent="0.25">
      <c r="G1539" s="1"/>
    </row>
    <row r="1540" spans="7:7" x14ac:dyDescent="0.25">
      <c r="G1540" s="1"/>
    </row>
    <row r="1541" spans="7:7" x14ac:dyDescent="0.25">
      <c r="G1541" s="1"/>
    </row>
    <row r="1542" spans="7:7" x14ac:dyDescent="0.25">
      <c r="G1542" s="1"/>
    </row>
    <row r="1543" spans="7:7" x14ac:dyDescent="0.25">
      <c r="G1543" s="1"/>
    </row>
    <row r="1544" spans="7:7" x14ac:dyDescent="0.25">
      <c r="G1544" s="1"/>
    </row>
    <row r="1545" spans="7:7" x14ac:dyDescent="0.25">
      <c r="G1545" s="1"/>
    </row>
    <row r="1546" spans="7:7" x14ac:dyDescent="0.25">
      <c r="G1546" s="1"/>
    </row>
    <row r="1547" spans="7:7" x14ac:dyDescent="0.25">
      <c r="G1547" s="1"/>
    </row>
    <row r="1548" spans="7:7" x14ac:dyDescent="0.25">
      <c r="G1548" s="1"/>
    </row>
    <row r="1549" spans="7:7" x14ac:dyDescent="0.25">
      <c r="G1549" s="1"/>
    </row>
    <row r="1550" spans="7:7" x14ac:dyDescent="0.25">
      <c r="G1550" s="1"/>
    </row>
    <row r="1551" spans="7:7" x14ac:dyDescent="0.25">
      <c r="G1551" s="1"/>
    </row>
    <row r="1552" spans="7:7" x14ac:dyDescent="0.25">
      <c r="G1552" s="1"/>
    </row>
    <row r="1553" spans="7:7" x14ac:dyDescent="0.25">
      <c r="G1553" s="1"/>
    </row>
    <row r="1554" spans="7:7" x14ac:dyDescent="0.25">
      <c r="G1554" s="1"/>
    </row>
    <row r="1555" spans="7:7" x14ac:dyDescent="0.25">
      <c r="G1555" s="1"/>
    </row>
    <row r="1556" spans="7:7" x14ac:dyDescent="0.25">
      <c r="G1556" s="1"/>
    </row>
    <row r="1557" spans="7:7" x14ac:dyDescent="0.25">
      <c r="G1557" s="1"/>
    </row>
    <row r="1558" spans="7:7" x14ac:dyDescent="0.25">
      <c r="G1558" s="1"/>
    </row>
    <row r="1559" spans="7:7" x14ac:dyDescent="0.25">
      <c r="G1559" s="1"/>
    </row>
    <row r="1560" spans="7:7" x14ac:dyDescent="0.25">
      <c r="G1560" s="1"/>
    </row>
    <row r="1561" spans="7:7" x14ac:dyDescent="0.25">
      <c r="G1561" s="1"/>
    </row>
    <row r="1562" spans="7:7" x14ac:dyDescent="0.25">
      <c r="G1562" s="1"/>
    </row>
    <row r="1563" spans="7:7" x14ac:dyDescent="0.25">
      <c r="G1563" s="1"/>
    </row>
    <row r="1564" spans="7:7" x14ac:dyDescent="0.25">
      <c r="G1564" s="1"/>
    </row>
    <row r="1565" spans="7:7" x14ac:dyDescent="0.25">
      <c r="G1565" s="1"/>
    </row>
    <row r="1566" spans="7:7" x14ac:dyDescent="0.25">
      <c r="G1566" s="1"/>
    </row>
    <row r="1567" spans="7:7" x14ac:dyDescent="0.25">
      <c r="G1567" s="1"/>
    </row>
    <row r="1568" spans="7:7" x14ac:dyDescent="0.25">
      <c r="G1568" s="1"/>
    </row>
    <row r="1569" spans="7:7" x14ac:dyDescent="0.25">
      <c r="G1569" s="1"/>
    </row>
    <row r="1570" spans="7:7" x14ac:dyDescent="0.25">
      <c r="G1570" s="1"/>
    </row>
    <row r="1571" spans="7:7" x14ac:dyDescent="0.25">
      <c r="G1571" s="1"/>
    </row>
    <row r="1572" spans="7:7" x14ac:dyDescent="0.25">
      <c r="G1572" s="1"/>
    </row>
    <row r="1573" spans="7:7" x14ac:dyDescent="0.25">
      <c r="G1573" s="1"/>
    </row>
    <row r="1574" spans="7:7" x14ac:dyDescent="0.25">
      <c r="G1574" s="1"/>
    </row>
    <row r="1575" spans="7:7" x14ac:dyDescent="0.25">
      <c r="G1575" s="1"/>
    </row>
    <row r="1576" spans="7:7" x14ac:dyDescent="0.25">
      <c r="G1576" s="1"/>
    </row>
    <row r="1577" spans="7:7" x14ac:dyDescent="0.25">
      <c r="G1577" s="1"/>
    </row>
    <row r="1578" spans="7:7" x14ac:dyDescent="0.25">
      <c r="G1578" s="1"/>
    </row>
    <row r="1579" spans="7:7" x14ac:dyDescent="0.25">
      <c r="G1579" s="1"/>
    </row>
    <row r="1580" spans="7:7" x14ac:dyDescent="0.25">
      <c r="G1580" s="1"/>
    </row>
    <row r="1581" spans="7:7" x14ac:dyDescent="0.25">
      <c r="G1581" s="1"/>
    </row>
    <row r="1582" spans="7:7" x14ac:dyDescent="0.25">
      <c r="G1582" s="1"/>
    </row>
    <row r="1583" spans="7:7" x14ac:dyDescent="0.25">
      <c r="G1583" s="1"/>
    </row>
    <row r="1584" spans="7:7" x14ac:dyDescent="0.25">
      <c r="G1584" s="1"/>
    </row>
    <row r="1585" spans="7:7" x14ac:dyDescent="0.25">
      <c r="G1585" s="1"/>
    </row>
    <row r="1586" spans="7:7" x14ac:dyDescent="0.25">
      <c r="G1586" s="1"/>
    </row>
    <row r="1587" spans="7:7" x14ac:dyDescent="0.25">
      <c r="G1587" s="1"/>
    </row>
    <row r="1588" spans="7:7" x14ac:dyDescent="0.25">
      <c r="G1588" s="1"/>
    </row>
    <row r="1589" spans="7:7" x14ac:dyDescent="0.25">
      <c r="G1589" s="1"/>
    </row>
    <row r="1590" spans="7:7" x14ac:dyDescent="0.25">
      <c r="G1590" s="1"/>
    </row>
    <row r="1591" spans="7:7" x14ac:dyDescent="0.25">
      <c r="G1591" s="1"/>
    </row>
    <row r="1592" spans="7:7" x14ac:dyDescent="0.25">
      <c r="G1592" s="1"/>
    </row>
    <row r="1593" spans="7:7" x14ac:dyDescent="0.25">
      <c r="G1593" s="1"/>
    </row>
    <row r="1594" spans="7:7" x14ac:dyDescent="0.25">
      <c r="G1594" s="1"/>
    </row>
    <row r="1595" spans="7:7" x14ac:dyDescent="0.25">
      <c r="G1595" s="1"/>
    </row>
    <row r="1596" spans="7:7" x14ac:dyDescent="0.25">
      <c r="G1596" s="1"/>
    </row>
    <row r="1597" spans="7:7" x14ac:dyDescent="0.25">
      <c r="G1597" s="1"/>
    </row>
    <row r="1598" spans="7:7" x14ac:dyDescent="0.25">
      <c r="G1598" s="1"/>
    </row>
    <row r="1599" spans="7:7" x14ac:dyDescent="0.25">
      <c r="G1599" s="1"/>
    </row>
    <row r="1600" spans="7:7" x14ac:dyDescent="0.25">
      <c r="G1600" s="1"/>
    </row>
    <row r="1601" spans="7:7" x14ac:dyDescent="0.25">
      <c r="G1601" s="1"/>
    </row>
    <row r="1602" spans="7:7" x14ac:dyDescent="0.25">
      <c r="G1602" s="1"/>
    </row>
    <row r="1603" spans="7:7" x14ac:dyDescent="0.25">
      <c r="G1603" s="1"/>
    </row>
    <row r="1604" spans="7:7" x14ac:dyDescent="0.25">
      <c r="G1604" s="1"/>
    </row>
    <row r="1605" spans="7:7" x14ac:dyDescent="0.25">
      <c r="G1605" s="1"/>
    </row>
    <row r="1606" spans="7:7" x14ac:dyDescent="0.25">
      <c r="G1606" s="1"/>
    </row>
    <row r="1607" spans="7:7" x14ac:dyDescent="0.25">
      <c r="G1607" s="1"/>
    </row>
    <row r="1608" spans="7:7" x14ac:dyDescent="0.25">
      <c r="G1608" s="1"/>
    </row>
    <row r="1609" spans="7:7" x14ac:dyDescent="0.25">
      <c r="G1609" s="1"/>
    </row>
    <row r="1610" spans="7:7" x14ac:dyDescent="0.25">
      <c r="G1610" s="1"/>
    </row>
    <row r="1611" spans="7:7" x14ac:dyDescent="0.25">
      <c r="G1611" s="1"/>
    </row>
    <row r="1612" spans="7:7" x14ac:dyDescent="0.25">
      <c r="G1612" s="1"/>
    </row>
    <row r="1613" spans="7:7" x14ac:dyDescent="0.25">
      <c r="G1613" s="1"/>
    </row>
    <row r="1614" spans="7:7" x14ac:dyDescent="0.25">
      <c r="G1614" s="1"/>
    </row>
    <row r="1615" spans="7:7" x14ac:dyDescent="0.25">
      <c r="G1615" s="1"/>
    </row>
    <row r="1616" spans="7:7" x14ac:dyDescent="0.25">
      <c r="G1616" s="1"/>
    </row>
    <row r="1617" spans="7:7" x14ac:dyDescent="0.25">
      <c r="G1617" s="1"/>
    </row>
    <row r="1618" spans="7:7" x14ac:dyDescent="0.25">
      <c r="G1618" s="1"/>
    </row>
    <row r="1619" spans="7:7" x14ac:dyDescent="0.25">
      <c r="G1619" s="1"/>
    </row>
    <row r="1620" spans="7:7" x14ac:dyDescent="0.25">
      <c r="G1620" s="1"/>
    </row>
    <row r="1621" spans="7:7" x14ac:dyDescent="0.25">
      <c r="G1621" s="1"/>
    </row>
    <row r="1622" spans="7:7" x14ac:dyDescent="0.25">
      <c r="G1622" s="1"/>
    </row>
    <row r="1623" spans="7:7" x14ac:dyDescent="0.25">
      <c r="G1623" s="1"/>
    </row>
    <row r="1624" spans="7:7" x14ac:dyDescent="0.25">
      <c r="G1624" s="1"/>
    </row>
    <row r="1625" spans="7:7" x14ac:dyDescent="0.25">
      <c r="G1625" s="1"/>
    </row>
    <row r="1626" spans="7:7" x14ac:dyDescent="0.25">
      <c r="G1626" s="1"/>
    </row>
    <row r="1627" spans="7:7" x14ac:dyDescent="0.25">
      <c r="G1627" s="1"/>
    </row>
    <row r="1628" spans="7:7" x14ac:dyDescent="0.25">
      <c r="G1628" s="1"/>
    </row>
    <row r="1629" spans="7:7" x14ac:dyDescent="0.25">
      <c r="G1629" s="1"/>
    </row>
    <row r="1630" spans="7:7" x14ac:dyDescent="0.25">
      <c r="G1630" s="1"/>
    </row>
    <row r="1631" spans="7:7" x14ac:dyDescent="0.25">
      <c r="G1631" s="1"/>
    </row>
    <row r="1632" spans="7:7" x14ac:dyDescent="0.25">
      <c r="G1632" s="1"/>
    </row>
    <row r="1633" spans="7:7" x14ac:dyDescent="0.25">
      <c r="G1633" s="1"/>
    </row>
    <row r="1634" spans="7:7" x14ac:dyDescent="0.25">
      <c r="G1634" s="1"/>
    </row>
    <row r="1635" spans="7:7" x14ac:dyDescent="0.25">
      <c r="G1635" s="1"/>
    </row>
    <row r="1636" spans="7:7" x14ac:dyDescent="0.25">
      <c r="G1636" s="1"/>
    </row>
    <row r="1637" spans="7:7" x14ac:dyDescent="0.25">
      <c r="G1637" s="1"/>
    </row>
    <row r="1638" spans="7:7" x14ac:dyDescent="0.25">
      <c r="G1638" s="1"/>
    </row>
    <row r="1639" spans="7:7" x14ac:dyDescent="0.25">
      <c r="G1639" s="1"/>
    </row>
    <row r="1640" spans="7:7" x14ac:dyDescent="0.25">
      <c r="G1640" s="1"/>
    </row>
    <row r="1641" spans="7:7" x14ac:dyDescent="0.25">
      <c r="G1641" s="1"/>
    </row>
    <row r="1642" spans="7:7" x14ac:dyDescent="0.25">
      <c r="G1642" s="1"/>
    </row>
    <row r="1643" spans="7:7" x14ac:dyDescent="0.25">
      <c r="G1643" s="1"/>
    </row>
    <row r="1644" spans="7:7" x14ac:dyDescent="0.25">
      <c r="G1644" s="1"/>
    </row>
    <row r="1645" spans="7:7" x14ac:dyDescent="0.25">
      <c r="G1645" s="1"/>
    </row>
    <row r="1646" spans="7:7" x14ac:dyDescent="0.25">
      <c r="G1646" s="1"/>
    </row>
    <row r="1647" spans="7:7" x14ac:dyDescent="0.25">
      <c r="G1647" s="1"/>
    </row>
    <row r="1648" spans="7:7" x14ac:dyDescent="0.25">
      <c r="G1648" s="1"/>
    </row>
    <row r="1649" spans="7:7" x14ac:dyDescent="0.25">
      <c r="G1649" s="1"/>
    </row>
    <row r="1650" spans="7:7" x14ac:dyDescent="0.25">
      <c r="G1650" s="1"/>
    </row>
    <row r="1651" spans="7:7" x14ac:dyDescent="0.25">
      <c r="G1651" s="1"/>
    </row>
    <row r="1652" spans="7:7" x14ac:dyDescent="0.25">
      <c r="G1652" s="1"/>
    </row>
    <row r="1653" spans="7:7" x14ac:dyDescent="0.25">
      <c r="G1653" s="1"/>
    </row>
    <row r="1654" spans="7:7" x14ac:dyDescent="0.25">
      <c r="G1654" s="1"/>
    </row>
    <row r="1655" spans="7:7" x14ac:dyDescent="0.25">
      <c r="G1655" s="1"/>
    </row>
    <row r="1656" spans="7:7" x14ac:dyDescent="0.25">
      <c r="G1656" s="1"/>
    </row>
    <row r="1657" spans="7:7" x14ac:dyDescent="0.25">
      <c r="G1657" s="1"/>
    </row>
    <row r="1658" spans="7:7" x14ac:dyDescent="0.25">
      <c r="G1658" s="1"/>
    </row>
    <row r="1659" spans="7:7" x14ac:dyDescent="0.25">
      <c r="G1659" s="1"/>
    </row>
    <row r="1660" spans="7:7" x14ac:dyDescent="0.25">
      <c r="G1660" s="1"/>
    </row>
    <row r="1661" spans="7:7" x14ac:dyDescent="0.25">
      <c r="G1661" s="1"/>
    </row>
    <row r="1662" spans="7:7" x14ac:dyDescent="0.25">
      <c r="G1662" s="1"/>
    </row>
    <row r="1663" spans="7:7" x14ac:dyDescent="0.25">
      <c r="G1663" s="1"/>
    </row>
    <row r="1664" spans="7:7" x14ac:dyDescent="0.25">
      <c r="G1664" s="1"/>
    </row>
    <row r="1665" spans="7:7" x14ac:dyDescent="0.25">
      <c r="G1665" s="1"/>
    </row>
    <row r="1666" spans="7:7" x14ac:dyDescent="0.25">
      <c r="G1666" s="1"/>
    </row>
    <row r="1667" spans="7:7" x14ac:dyDescent="0.25">
      <c r="G1667" s="1"/>
    </row>
    <row r="1668" spans="7:7" x14ac:dyDescent="0.25">
      <c r="G1668" s="1"/>
    </row>
    <row r="1669" spans="7:7" x14ac:dyDescent="0.25">
      <c r="G1669" s="1"/>
    </row>
    <row r="1670" spans="7:7" x14ac:dyDescent="0.25">
      <c r="G1670" s="1"/>
    </row>
    <row r="1671" spans="7:7" x14ac:dyDescent="0.25">
      <c r="G1671" s="1"/>
    </row>
    <row r="1672" spans="7:7" x14ac:dyDescent="0.25">
      <c r="G1672" s="1"/>
    </row>
    <row r="1673" spans="7:7" x14ac:dyDescent="0.25">
      <c r="G1673" s="1"/>
    </row>
    <row r="1674" spans="7:7" x14ac:dyDescent="0.25">
      <c r="G1674" s="1"/>
    </row>
    <row r="1675" spans="7:7" x14ac:dyDescent="0.25">
      <c r="G1675" s="1"/>
    </row>
    <row r="1676" spans="7:7" x14ac:dyDescent="0.25">
      <c r="G1676" s="1"/>
    </row>
    <row r="1677" spans="7:7" x14ac:dyDescent="0.25">
      <c r="G1677" s="1"/>
    </row>
    <row r="1678" spans="7:7" x14ac:dyDescent="0.25">
      <c r="G1678" s="1"/>
    </row>
    <row r="1679" spans="7:7" x14ac:dyDescent="0.25">
      <c r="G1679" s="1"/>
    </row>
    <row r="1680" spans="7:7" x14ac:dyDescent="0.25">
      <c r="G1680" s="1"/>
    </row>
    <row r="1681" spans="7:7" x14ac:dyDescent="0.25">
      <c r="G1681" s="1"/>
    </row>
    <row r="1682" spans="7:7" x14ac:dyDescent="0.25">
      <c r="G1682" s="1"/>
    </row>
    <row r="1683" spans="7:7" x14ac:dyDescent="0.25">
      <c r="G1683" s="1"/>
    </row>
    <row r="1684" spans="7:7" x14ac:dyDescent="0.25">
      <c r="G1684" s="1"/>
    </row>
    <row r="1685" spans="7:7" x14ac:dyDescent="0.25">
      <c r="G1685" s="1"/>
    </row>
    <row r="1686" spans="7:7" x14ac:dyDescent="0.25">
      <c r="G1686" s="1"/>
    </row>
    <row r="1687" spans="7:7" x14ac:dyDescent="0.25">
      <c r="G1687" s="1"/>
    </row>
    <row r="1688" spans="7:7" x14ac:dyDescent="0.25">
      <c r="G1688" s="1"/>
    </row>
    <row r="1689" spans="7:7" x14ac:dyDescent="0.25">
      <c r="G1689" s="1"/>
    </row>
    <row r="1690" spans="7:7" x14ac:dyDescent="0.25">
      <c r="G1690" s="1"/>
    </row>
    <row r="1691" spans="7:7" x14ac:dyDescent="0.25">
      <c r="G1691" s="1"/>
    </row>
    <row r="1692" spans="7:7" x14ac:dyDescent="0.25">
      <c r="G1692" s="1"/>
    </row>
    <row r="1693" spans="7:7" x14ac:dyDescent="0.25">
      <c r="G1693" s="1"/>
    </row>
    <row r="1694" spans="7:7" x14ac:dyDescent="0.25">
      <c r="G1694" s="1"/>
    </row>
    <row r="1695" spans="7:7" x14ac:dyDescent="0.25">
      <c r="G1695" s="1"/>
    </row>
    <row r="1696" spans="7:7" x14ac:dyDescent="0.25">
      <c r="G1696" s="1"/>
    </row>
    <row r="1697" spans="7:7" x14ac:dyDescent="0.25">
      <c r="G1697" s="1"/>
    </row>
    <row r="1698" spans="7:7" x14ac:dyDescent="0.25">
      <c r="G1698" s="1"/>
    </row>
    <row r="1699" spans="7:7" x14ac:dyDescent="0.25">
      <c r="G1699" s="1"/>
    </row>
    <row r="1700" spans="7:7" x14ac:dyDescent="0.25">
      <c r="G1700" s="1"/>
    </row>
    <row r="1701" spans="7:7" x14ac:dyDescent="0.25">
      <c r="G1701" s="1"/>
    </row>
    <row r="1702" spans="7:7" x14ac:dyDescent="0.25">
      <c r="G1702" s="1"/>
    </row>
    <row r="1703" spans="7:7" x14ac:dyDescent="0.25">
      <c r="G1703" s="1"/>
    </row>
    <row r="1704" spans="7:7" x14ac:dyDescent="0.25">
      <c r="G1704" s="1"/>
    </row>
    <row r="1705" spans="7:7" x14ac:dyDescent="0.25">
      <c r="G1705" s="1"/>
    </row>
    <row r="1706" spans="7:7" x14ac:dyDescent="0.25">
      <c r="G1706" s="1"/>
    </row>
    <row r="1707" spans="7:7" x14ac:dyDescent="0.25">
      <c r="G1707" s="1"/>
    </row>
    <row r="1708" spans="7:7" x14ac:dyDescent="0.25">
      <c r="G1708" s="1"/>
    </row>
    <row r="1709" spans="7:7" x14ac:dyDescent="0.25">
      <c r="G1709" s="1"/>
    </row>
    <row r="1710" spans="7:7" x14ac:dyDescent="0.25">
      <c r="G1710" s="1"/>
    </row>
    <row r="1711" spans="7:7" x14ac:dyDescent="0.25">
      <c r="G1711" s="1"/>
    </row>
    <row r="1712" spans="7:7" x14ac:dyDescent="0.25">
      <c r="G1712" s="1"/>
    </row>
    <row r="1713" spans="7:7" x14ac:dyDescent="0.25">
      <c r="G1713" s="1"/>
    </row>
    <row r="1714" spans="7:7" x14ac:dyDescent="0.25">
      <c r="G1714" s="1"/>
    </row>
    <row r="1715" spans="7:7" x14ac:dyDescent="0.25">
      <c r="G1715" s="1"/>
    </row>
    <row r="1716" spans="7:7" x14ac:dyDescent="0.25">
      <c r="G1716" s="1"/>
    </row>
    <row r="1717" spans="7:7" x14ac:dyDescent="0.25">
      <c r="G1717" s="1"/>
    </row>
    <row r="1718" spans="7:7" x14ac:dyDescent="0.25">
      <c r="G1718" s="1"/>
    </row>
    <row r="1719" spans="7:7" x14ac:dyDescent="0.25">
      <c r="G1719" s="1"/>
    </row>
    <row r="1720" spans="7:7" x14ac:dyDescent="0.25">
      <c r="G1720" s="1"/>
    </row>
    <row r="1721" spans="7:7" x14ac:dyDescent="0.25">
      <c r="G1721" s="1"/>
    </row>
    <row r="1722" spans="7:7" x14ac:dyDescent="0.25">
      <c r="G1722" s="1"/>
    </row>
    <row r="1723" spans="7:7" x14ac:dyDescent="0.25">
      <c r="G1723" s="1"/>
    </row>
    <row r="1724" spans="7:7" x14ac:dyDescent="0.25">
      <c r="G1724" s="1"/>
    </row>
    <row r="1725" spans="7:7" x14ac:dyDescent="0.25">
      <c r="G1725" s="1"/>
    </row>
    <row r="1726" spans="7:7" x14ac:dyDescent="0.25">
      <c r="G1726" s="1"/>
    </row>
    <row r="1727" spans="7:7" x14ac:dyDescent="0.25">
      <c r="G1727" s="1"/>
    </row>
    <row r="1728" spans="7:7" x14ac:dyDescent="0.25">
      <c r="G1728" s="1"/>
    </row>
    <row r="1729" spans="7:7" x14ac:dyDescent="0.25">
      <c r="G1729" s="1"/>
    </row>
    <row r="1730" spans="7:7" x14ac:dyDescent="0.25">
      <c r="G1730" s="1"/>
    </row>
    <row r="1731" spans="7:7" x14ac:dyDescent="0.25">
      <c r="G1731" s="1"/>
    </row>
    <row r="1732" spans="7:7" x14ac:dyDescent="0.25">
      <c r="G1732" s="1"/>
    </row>
    <row r="1733" spans="7:7" x14ac:dyDescent="0.25">
      <c r="G1733" s="1"/>
    </row>
    <row r="1734" spans="7:7" x14ac:dyDescent="0.25">
      <c r="G1734" s="1"/>
    </row>
    <row r="1735" spans="7:7" x14ac:dyDescent="0.25">
      <c r="G1735" s="1"/>
    </row>
    <row r="1736" spans="7:7" x14ac:dyDescent="0.25">
      <c r="G1736" s="1"/>
    </row>
    <row r="1737" spans="7:7" x14ac:dyDescent="0.25">
      <c r="G1737" s="1"/>
    </row>
    <row r="1738" spans="7:7" x14ac:dyDescent="0.25">
      <c r="G1738" s="1"/>
    </row>
    <row r="1739" spans="7:7" x14ac:dyDescent="0.25">
      <c r="G1739" s="1"/>
    </row>
    <row r="1740" spans="7:7" x14ac:dyDescent="0.25">
      <c r="G1740" s="1"/>
    </row>
    <row r="1741" spans="7:7" x14ac:dyDescent="0.25">
      <c r="G1741" s="1"/>
    </row>
    <row r="1742" spans="7:7" x14ac:dyDescent="0.25">
      <c r="G1742" s="1"/>
    </row>
    <row r="1743" spans="7:7" x14ac:dyDescent="0.25">
      <c r="G1743" s="1"/>
    </row>
    <row r="1744" spans="7:7" x14ac:dyDescent="0.25">
      <c r="G1744" s="1"/>
    </row>
    <row r="1745" spans="7:7" x14ac:dyDescent="0.25">
      <c r="G1745" s="1"/>
    </row>
    <row r="1746" spans="7:7" x14ac:dyDescent="0.25">
      <c r="G1746" s="1"/>
    </row>
    <row r="1747" spans="7:7" x14ac:dyDescent="0.25">
      <c r="G1747" s="1"/>
    </row>
    <row r="1748" spans="7:7" x14ac:dyDescent="0.25">
      <c r="G1748" s="1"/>
    </row>
    <row r="1749" spans="7:7" x14ac:dyDescent="0.25">
      <c r="G1749" s="1"/>
    </row>
    <row r="1750" spans="7:7" x14ac:dyDescent="0.25">
      <c r="G1750" s="1"/>
    </row>
    <row r="1751" spans="7:7" x14ac:dyDescent="0.25">
      <c r="G1751" s="1"/>
    </row>
    <row r="1752" spans="7:7" x14ac:dyDescent="0.25">
      <c r="G1752" s="1"/>
    </row>
    <row r="1753" spans="7:7" x14ac:dyDescent="0.25">
      <c r="G1753" s="1"/>
    </row>
    <row r="1754" spans="7:7" x14ac:dyDescent="0.25">
      <c r="G1754" s="1"/>
    </row>
    <row r="1755" spans="7:7" x14ac:dyDescent="0.25">
      <c r="G1755" s="1"/>
    </row>
    <row r="1756" spans="7:7" x14ac:dyDescent="0.25">
      <c r="G1756" s="1"/>
    </row>
    <row r="1757" spans="7:7" x14ac:dyDescent="0.25">
      <c r="G1757" s="1"/>
    </row>
    <row r="1758" spans="7:7" x14ac:dyDescent="0.25">
      <c r="G1758" s="1"/>
    </row>
    <row r="1759" spans="7:7" x14ac:dyDescent="0.25">
      <c r="G1759" s="1"/>
    </row>
    <row r="1760" spans="7:7" x14ac:dyDescent="0.25">
      <c r="G1760" s="1"/>
    </row>
    <row r="1761" spans="7:7" x14ac:dyDescent="0.25">
      <c r="G1761" s="1"/>
    </row>
    <row r="1762" spans="7:7" x14ac:dyDescent="0.25">
      <c r="G1762" s="1"/>
    </row>
    <row r="1763" spans="7:7" x14ac:dyDescent="0.25">
      <c r="G1763" s="1"/>
    </row>
    <row r="1764" spans="7:7" x14ac:dyDescent="0.25">
      <c r="G1764" s="1"/>
    </row>
    <row r="1765" spans="7:7" x14ac:dyDescent="0.25">
      <c r="G1765" s="1"/>
    </row>
    <row r="1766" spans="7:7" x14ac:dyDescent="0.25">
      <c r="G1766" s="1"/>
    </row>
    <row r="1767" spans="7:7" x14ac:dyDescent="0.25">
      <c r="G1767" s="1"/>
    </row>
    <row r="1768" spans="7:7" x14ac:dyDescent="0.25">
      <c r="G1768" s="1"/>
    </row>
    <row r="1769" spans="7:7" x14ac:dyDescent="0.25">
      <c r="G1769" s="1"/>
    </row>
    <row r="1770" spans="7:7" x14ac:dyDescent="0.25">
      <c r="G1770" s="1"/>
    </row>
    <row r="1771" spans="7:7" x14ac:dyDescent="0.25">
      <c r="G1771" s="1"/>
    </row>
    <row r="1772" spans="7:7" x14ac:dyDescent="0.25">
      <c r="G1772" s="1"/>
    </row>
    <row r="1773" spans="7:7" x14ac:dyDescent="0.25">
      <c r="G1773" s="1"/>
    </row>
    <row r="1774" spans="7:7" x14ac:dyDescent="0.25">
      <c r="G1774" s="1"/>
    </row>
    <row r="1775" spans="7:7" x14ac:dyDescent="0.25">
      <c r="G1775" s="1"/>
    </row>
    <row r="1776" spans="7:7" x14ac:dyDescent="0.25">
      <c r="G1776" s="1"/>
    </row>
    <row r="1777" spans="7:7" x14ac:dyDescent="0.25">
      <c r="G1777" s="1"/>
    </row>
    <row r="1778" spans="7:7" x14ac:dyDescent="0.25">
      <c r="G1778" s="1"/>
    </row>
    <row r="1779" spans="7:7" x14ac:dyDescent="0.25">
      <c r="G1779" s="1"/>
    </row>
    <row r="1780" spans="7:7" x14ac:dyDescent="0.25">
      <c r="G1780" s="1"/>
    </row>
    <row r="1781" spans="7:7" x14ac:dyDescent="0.25">
      <c r="G1781" s="1"/>
    </row>
    <row r="1782" spans="7:7" x14ac:dyDescent="0.25">
      <c r="G1782" s="1"/>
    </row>
    <row r="1783" spans="7:7" x14ac:dyDescent="0.25">
      <c r="G1783" s="1"/>
    </row>
    <row r="1784" spans="7:7" x14ac:dyDescent="0.25">
      <c r="G1784" s="1"/>
    </row>
    <row r="1785" spans="7:7" x14ac:dyDescent="0.25">
      <c r="G1785" s="1"/>
    </row>
    <row r="1786" spans="7:7" x14ac:dyDescent="0.25">
      <c r="G1786" s="1"/>
    </row>
    <row r="1787" spans="7:7" x14ac:dyDescent="0.25">
      <c r="G1787" s="1"/>
    </row>
    <row r="1788" spans="7:7" x14ac:dyDescent="0.25">
      <c r="G1788" s="1"/>
    </row>
    <row r="1789" spans="7:7" x14ac:dyDescent="0.25">
      <c r="G1789" s="1"/>
    </row>
    <row r="1790" spans="7:7" x14ac:dyDescent="0.25">
      <c r="G1790" s="1"/>
    </row>
    <row r="1791" spans="7:7" x14ac:dyDescent="0.25">
      <c r="G1791" s="1"/>
    </row>
    <row r="1792" spans="7:7" x14ac:dyDescent="0.25">
      <c r="G1792" s="1"/>
    </row>
    <row r="1793" spans="7:7" x14ac:dyDescent="0.25">
      <c r="G1793" s="1"/>
    </row>
    <row r="1794" spans="7:7" x14ac:dyDescent="0.25">
      <c r="G1794" s="1"/>
    </row>
    <row r="1795" spans="7:7" x14ac:dyDescent="0.25">
      <c r="G1795" s="1"/>
    </row>
    <row r="1796" spans="7:7" x14ac:dyDescent="0.25">
      <c r="G1796" s="1"/>
    </row>
    <row r="1797" spans="7:7" x14ac:dyDescent="0.25">
      <c r="G1797" s="1"/>
    </row>
    <row r="1798" spans="7:7" x14ac:dyDescent="0.25">
      <c r="G1798" s="1"/>
    </row>
    <row r="1799" spans="7:7" x14ac:dyDescent="0.25">
      <c r="G1799" s="1"/>
    </row>
    <row r="1800" spans="7:7" x14ac:dyDescent="0.25">
      <c r="G1800" s="1"/>
    </row>
    <row r="1801" spans="7:7" x14ac:dyDescent="0.25">
      <c r="G1801" s="1"/>
    </row>
    <row r="1802" spans="7:7" x14ac:dyDescent="0.25">
      <c r="G1802" s="1"/>
    </row>
    <row r="1803" spans="7:7" x14ac:dyDescent="0.25">
      <c r="G1803" s="1"/>
    </row>
    <row r="1804" spans="7:7" x14ac:dyDescent="0.25">
      <c r="G1804" s="1"/>
    </row>
    <row r="1805" spans="7:7" x14ac:dyDescent="0.25">
      <c r="G1805" s="1"/>
    </row>
    <row r="1806" spans="7:7" x14ac:dyDescent="0.25">
      <c r="G1806" s="1"/>
    </row>
    <row r="1807" spans="7:7" x14ac:dyDescent="0.25">
      <c r="G1807" s="1"/>
    </row>
    <row r="1808" spans="7:7" x14ac:dyDescent="0.25">
      <c r="G1808" s="1"/>
    </row>
    <row r="1809" spans="7:7" x14ac:dyDescent="0.25">
      <c r="G1809" s="1"/>
    </row>
    <row r="1810" spans="7:7" x14ac:dyDescent="0.25">
      <c r="G1810" s="1"/>
    </row>
    <row r="1811" spans="7:7" x14ac:dyDescent="0.25">
      <c r="G1811" s="1"/>
    </row>
    <row r="1812" spans="7:7" x14ac:dyDescent="0.25">
      <c r="G1812" s="1"/>
    </row>
    <row r="1813" spans="7:7" x14ac:dyDescent="0.25">
      <c r="G1813" s="1"/>
    </row>
    <row r="1814" spans="7:7" x14ac:dyDescent="0.25">
      <c r="G1814" s="1"/>
    </row>
    <row r="1815" spans="7:7" x14ac:dyDescent="0.25">
      <c r="G1815" s="1"/>
    </row>
    <row r="1816" spans="7:7" x14ac:dyDescent="0.25">
      <c r="G1816" s="1"/>
    </row>
    <row r="1817" spans="7:7" x14ac:dyDescent="0.25">
      <c r="G1817" s="1"/>
    </row>
    <row r="1818" spans="7:7" x14ac:dyDescent="0.25">
      <c r="G1818" s="1"/>
    </row>
    <row r="1819" spans="7:7" x14ac:dyDescent="0.25">
      <c r="G1819" s="1"/>
    </row>
    <row r="1820" spans="7:7" x14ac:dyDescent="0.25">
      <c r="G1820" s="1"/>
    </row>
    <row r="1821" spans="7:7" x14ac:dyDescent="0.25">
      <c r="G1821" s="1"/>
    </row>
    <row r="1822" spans="7:7" x14ac:dyDescent="0.25">
      <c r="G1822" s="1"/>
    </row>
    <row r="1823" spans="7:7" x14ac:dyDescent="0.25">
      <c r="G1823" s="1"/>
    </row>
    <row r="1824" spans="7:7" x14ac:dyDescent="0.25">
      <c r="G1824" s="1"/>
    </row>
    <row r="1825" spans="7:7" x14ac:dyDescent="0.25">
      <c r="G1825" s="1"/>
    </row>
    <row r="1826" spans="7:7" x14ac:dyDescent="0.25">
      <c r="G1826" s="1"/>
    </row>
    <row r="1827" spans="7:7" x14ac:dyDescent="0.25">
      <c r="G1827" s="1"/>
    </row>
    <row r="1828" spans="7:7" x14ac:dyDescent="0.25">
      <c r="G1828" s="1"/>
    </row>
    <row r="1829" spans="7:7" x14ac:dyDescent="0.25">
      <c r="G1829" s="1"/>
    </row>
    <row r="1830" spans="7:7" x14ac:dyDescent="0.25">
      <c r="G1830" s="1"/>
    </row>
    <row r="1831" spans="7:7" x14ac:dyDescent="0.25">
      <c r="G1831" s="1"/>
    </row>
    <row r="1832" spans="7:7" x14ac:dyDescent="0.25">
      <c r="G1832" s="1"/>
    </row>
    <row r="1833" spans="7:7" x14ac:dyDescent="0.25">
      <c r="G1833" s="1"/>
    </row>
    <row r="1834" spans="7:7" x14ac:dyDescent="0.25">
      <c r="G1834" s="1"/>
    </row>
    <row r="1835" spans="7:7" x14ac:dyDescent="0.25">
      <c r="G1835" s="1"/>
    </row>
    <row r="1836" spans="7:7" x14ac:dyDescent="0.25">
      <c r="G1836" s="1"/>
    </row>
    <row r="1837" spans="7:7" x14ac:dyDescent="0.25">
      <c r="G1837" s="1"/>
    </row>
    <row r="1838" spans="7:7" x14ac:dyDescent="0.25">
      <c r="G1838" s="1"/>
    </row>
    <row r="1839" spans="7:7" x14ac:dyDescent="0.25">
      <c r="G1839" s="1"/>
    </row>
    <row r="1840" spans="7:7" x14ac:dyDescent="0.25">
      <c r="G1840" s="1"/>
    </row>
    <row r="1841" spans="7:7" x14ac:dyDescent="0.25">
      <c r="G1841" s="1"/>
    </row>
    <row r="1842" spans="7:7" x14ac:dyDescent="0.25">
      <c r="G1842" s="1"/>
    </row>
    <row r="1843" spans="7:7" x14ac:dyDescent="0.25">
      <c r="G1843" s="1"/>
    </row>
    <row r="1844" spans="7:7" x14ac:dyDescent="0.25">
      <c r="G1844" s="1"/>
    </row>
    <row r="1845" spans="7:7" x14ac:dyDescent="0.25">
      <c r="G1845" s="1"/>
    </row>
    <row r="1846" spans="7:7" x14ac:dyDescent="0.25">
      <c r="G1846" s="1"/>
    </row>
    <row r="1847" spans="7:7" x14ac:dyDescent="0.25">
      <c r="G1847" s="1"/>
    </row>
    <row r="1848" spans="7:7" x14ac:dyDescent="0.25">
      <c r="G1848" s="1"/>
    </row>
    <row r="1849" spans="7:7" x14ac:dyDescent="0.25">
      <c r="G1849" s="1"/>
    </row>
    <row r="1850" spans="7:7" x14ac:dyDescent="0.25">
      <c r="G1850" s="1"/>
    </row>
    <row r="1851" spans="7:7" x14ac:dyDescent="0.25">
      <c r="G1851" s="1"/>
    </row>
    <row r="1852" spans="7:7" x14ac:dyDescent="0.25">
      <c r="G1852" s="1"/>
    </row>
    <row r="1853" spans="7:7" x14ac:dyDescent="0.25">
      <c r="G1853" s="1"/>
    </row>
    <row r="1854" spans="7:7" x14ac:dyDescent="0.25">
      <c r="G1854" s="1"/>
    </row>
    <row r="1855" spans="7:7" x14ac:dyDescent="0.25">
      <c r="G1855" s="1"/>
    </row>
    <row r="1856" spans="7:7" x14ac:dyDescent="0.25">
      <c r="G1856" s="1"/>
    </row>
    <row r="1857" spans="7:7" x14ac:dyDescent="0.25">
      <c r="G1857" s="1"/>
    </row>
    <row r="1858" spans="7:7" x14ac:dyDescent="0.25">
      <c r="G1858" s="1"/>
    </row>
    <row r="1859" spans="7:7" x14ac:dyDescent="0.25">
      <c r="G1859" s="1"/>
    </row>
    <row r="1860" spans="7:7" x14ac:dyDescent="0.25">
      <c r="G1860" s="1"/>
    </row>
    <row r="1861" spans="7:7" x14ac:dyDescent="0.25">
      <c r="G1861" s="1"/>
    </row>
    <row r="1862" spans="7:7" x14ac:dyDescent="0.25">
      <c r="G1862" s="1"/>
    </row>
    <row r="1863" spans="7:7" x14ac:dyDescent="0.25">
      <c r="G1863" s="1"/>
    </row>
    <row r="1864" spans="7:7" x14ac:dyDescent="0.25">
      <c r="G1864" s="1"/>
    </row>
    <row r="1865" spans="7:7" x14ac:dyDescent="0.25">
      <c r="G1865" s="1"/>
    </row>
    <row r="1866" spans="7:7" x14ac:dyDescent="0.25">
      <c r="G1866" s="1"/>
    </row>
    <row r="1867" spans="7:7" x14ac:dyDescent="0.25">
      <c r="G1867" s="1"/>
    </row>
    <row r="1868" spans="7:7" x14ac:dyDescent="0.25">
      <c r="G1868" s="1"/>
    </row>
    <row r="1869" spans="7:7" x14ac:dyDescent="0.25">
      <c r="G1869" s="1"/>
    </row>
    <row r="1870" spans="7:7" x14ac:dyDescent="0.25">
      <c r="G1870" s="1"/>
    </row>
    <row r="1871" spans="7:7" x14ac:dyDescent="0.25">
      <c r="G1871" s="1"/>
    </row>
    <row r="1872" spans="7:7" x14ac:dyDescent="0.25">
      <c r="G1872" s="1"/>
    </row>
    <row r="1873" spans="7:7" x14ac:dyDescent="0.25">
      <c r="G1873" s="1"/>
    </row>
    <row r="1874" spans="7:7" x14ac:dyDescent="0.25">
      <c r="G1874" s="1"/>
    </row>
    <row r="1875" spans="7:7" x14ac:dyDescent="0.25">
      <c r="G1875" s="1"/>
    </row>
    <row r="1876" spans="7:7" x14ac:dyDescent="0.25">
      <c r="G1876" s="1"/>
    </row>
    <row r="1877" spans="7:7" x14ac:dyDescent="0.25">
      <c r="G1877" s="1"/>
    </row>
    <row r="1878" spans="7:7" x14ac:dyDescent="0.25">
      <c r="G1878" s="1"/>
    </row>
    <row r="1879" spans="7:7" x14ac:dyDescent="0.25">
      <c r="G1879" s="1"/>
    </row>
    <row r="1880" spans="7:7" x14ac:dyDescent="0.25">
      <c r="G1880" s="1"/>
    </row>
    <row r="1881" spans="7:7" x14ac:dyDescent="0.25">
      <c r="G1881" s="1"/>
    </row>
    <row r="1882" spans="7:7" x14ac:dyDescent="0.25">
      <c r="G1882" s="1"/>
    </row>
    <row r="1883" spans="7:7" x14ac:dyDescent="0.25">
      <c r="G1883" s="1"/>
    </row>
    <row r="1884" spans="7:7" x14ac:dyDescent="0.25">
      <c r="G1884" s="1"/>
    </row>
    <row r="1885" spans="7:7" x14ac:dyDescent="0.25">
      <c r="G1885" s="1"/>
    </row>
    <row r="1886" spans="7:7" x14ac:dyDescent="0.25">
      <c r="G1886" s="1"/>
    </row>
    <row r="1887" spans="7:7" x14ac:dyDescent="0.25">
      <c r="G1887" s="1"/>
    </row>
    <row r="1888" spans="7:7" x14ac:dyDescent="0.25">
      <c r="G1888" s="1"/>
    </row>
    <row r="1889" spans="7:7" x14ac:dyDescent="0.25">
      <c r="G1889" s="1"/>
    </row>
    <row r="1890" spans="7:7" x14ac:dyDescent="0.25">
      <c r="G1890" s="1"/>
    </row>
    <row r="1891" spans="7:7" x14ac:dyDescent="0.25">
      <c r="G1891" s="1"/>
    </row>
    <row r="1892" spans="7:7" x14ac:dyDescent="0.25">
      <c r="G1892" s="1"/>
    </row>
    <row r="1893" spans="7:7" x14ac:dyDescent="0.25">
      <c r="G1893" s="1"/>
    </row>
    <row r="1894" spans="7:7" x14ac:dyDescent="0.25">
      <c r="G1894" s="1"/>
    </row>
    <row r="1895" spans="7:7" x14ac:dyDescent="0.25">
      <c r="G1895" s="1"/>
    </row>
    <row r="1896" spans="7:7" x14ac:dyDescent="0.25">
      <c r="G1896" s="1"/>
    </row>
    <row r="1897" spans="7:7" x14ac:dyDescent="0.25">
      <c r="G1897" s="1"/>
    </row>
    <row r="1898" spans="7:7" x14ac:dyDescent="0.25">
      <c r="G1898" s="1"/>
    </row>
    <row r="1899" spans="7:7" x14ac:dyDescent="0.25">
      <c r="G1899" s="1"/>
    </row>
    <row r="1900" spans="7:7" x14ac:dyDescent="0.25">
      <c r="G1900" s="1"/>
    </row>
    <row r="1901" spans="7:7" x14ac:dyDescent="0.25">
      <c r="G1901" s="1"/>
    </row>
    <row r="1902" spans="7:7" x14ac:dyDescent="0.25">
      <c r="G1902" s="1"/>
    </row>
    <row r="1903" spans="7:7" x14ac:dyDescent="0.25">
      <c r="G1903" s="1"/>
    </row>
    <row r="1904" spans="7:7" x14ac:dyDescent="0.25">
      <c r="G1904" s="1"/>
    </row>
    <row r="1905" spans="7:7" x14ac:dyDescent="0.25">
      <c r="G1905" s="1"/>
    </row>
    <row r="1906" spans="7:7" x14ac:dyDescent="0.25">
      <c r="G1906" s="1"/>
    </row>
    <row r="1907" spans="7:7" x14ac:dyDescent="0.25">
      <c r="G1907" s="1"/>
    </row>
    <row r="1908" spans="7:7" x14ac:dyDescent="0.25">
      <c r="G1908" s="1"/>
    </row>
    <row r="1909" spans="7:7" x14ac:dyDescent="0.25">
      <c r="G1909" s="1"/>
    </row>
    <row r="1910" spans="7:7" x14ac:dyDescent="0.25">
      <c r="G1910" s="1"/>
    </row>
    <row r="1911" spans="7:7" x14ac:dyDescent="0.25">
      <c r="G1911" s="1"/>
    </row>
    <row r="1912" spans="7:7" x14ac:dyDescent="0.25">
      <c r="G1912" s="1"/>
    </row>
    <row r="1913" spans="7:7" x14ac:dyDescent="0.25">
      <c r="G1913" s="1"/>
    </row>
    <row r="1914" spans="7:7" x14ac:dyDescent="0.25">
      <c r="G1914" s="1"/>
    </row>
    <row r="1915" spans="7:7" x14ac:dyDescent="0.25">
      <c r="G1915" s="1"/>
    </row>
    <row r="1916" spans="7:7" x14ac:dyDescent="0.25">
      <c r="G1916" s="1"/>
    </row>
    <row r="1917" spans="7:7" x14ac:dyDescent="0.25">
      <c r="G1917" s="1"/>
    </row>
    <row r="1918" spans="7:7" x14ac:dyDescent="0.25">
      <c r="G1918" s="1"/>
    </row>
    <row r="1919" spans="7:7" x14ac:dyDescent="0.25">
      <c r="G1919" s="1"/>
    </row>
    <row r="1920" spans="7:7" x14ac:dyDescent="0.25">
      <c r="G1920" s="1"/>
    </row>
    <row r="1921" spans="7:7" x14ac:dyDescent="0.25">
      <c r="G1921" s="1"/>
    </row>
    <row r="1922" spans="7:7" x14ac:dyDescent="0.25">
      <c r="G1922" s="1"/>
    </row>
    <row r="1923" spans="7:7" x14ac:dyDescent="0.25">
      <c r="G1923" s="1"/>
    </row>
    <row r="1924" spans="7:7" x14ac:dyDescent="0.25">
      <c r="G1924" s="1"/>
    </row>
    <row r="1925" spans="7:7" x14ac:dyDescent="0.25">
      <c r="G1925" s="1"/>
    </row>
    <row r="1926" spans="7:7" x14ac:dyDescent="0.25">
      <c r="G1926" s="1"/>
    </row>
    <row r="1927" spans="7:7" x14ac:dyDescent="0.25">
      <c r="G1927" s="1"/>
    </row>
    <row r="1928" spans="7:7" x14ac:dyDescent="0.25">
      <c r="G1928" s="1"/>
    </row>
    <row r="1929" spans="7:7" x14ac:dyDescent="0.25">
      <c r="G1929" s="1"/>
    </row>
    <row r="1930" spans="7:7" x14ac:dyDescent="0.25">
      <c r="G1930" s="1"/>
    </row>
    <row r="1931" spans="7:7" x14ac:dyDescent="0.25">
      <c r="G1931" s="1"/>
    </row>
    <row r="1932" spans="7:7" x14ac:dyDescent="0.25">
      <c r="G1932" s="1"/>
    </row>
    <row r="1933" spans="7:7" x14ac:dyDescent="0.25">
      <c r="G1933" s="1"/>
    </row>
    <row r="1934" spans="7:7" x14ac:dyDescent="0.25">
      <c r="G1934" s="1"/>
    </row>
    <row r="1935" spans="7:7" x14ac:dyDescent="0.25">
      <c r="G1935" s="1"/>
    </row>
    <row r="1936" spans="7:7" x14ac:dyDescent="0.25">
      <c r="G1936" s="1"/>
    </row>
    <row r="1937" spans="7:7" x14ac:dyDescent="0.25">
      <c r="G1937" s="1"/>
    </row>
    <row r="1938" spans="7:7" x14ac:dyDescent="0.25">
      <c r="G1938" s="1"/>
    </row>
    <row r="1939" spans="7:7" x14ac:dyDescent="0.25">
      <c r="G1939" s="1"/>
    </row>
    <row r="1940" spans="7:7" x14ac:dyDescent="0.25">
      <c r="G1940" s="1"/>
    </row>
    <row r="1941" spans="7:7" x14ac:dyDescent="0.25">
      <c r="G1941" s="1"/>
    </row>
    <row r="1942" spans="7:7" x14ac:dyDescent="0.25">
      <c r="G1942" s="1"/>
    </row>
    <row r="1943" spans="7:7" x14ac:dyDescent="0.25">
      <c r="G1943" s="1"/>
    </row>
    <row r="1944" spans="7:7" x14ac:dyDescent="0.25">
      <c r="G1944" s="1"/>
    </row>
    <row r="1945" spans="7:7" x14ac:dyDescent="0.25">
      <c r="G1945" s="1"/>
    </row>
    <row r="1946" spans="7:7" x14ac:dyDescent="0.25">
      <c r="G1946" s="1"/>
    </row>
    <row r="1947" spans="7:7" x14ac:dyDescent="0.25">
      <c r="G1947" s="1"/>
    </row>
    <row r="1948" spans="7:7" x14ac:dyDescent="0.25">
      <c r="G1948" s="1"/>
    </row>
    <row r="1949" spans="7:7" x14ac:dyDescent="0.25">
      <c r="G1949" s="1"/>
    </row>
    <row r="1950" spans="7:7" x14ac:dyDescent="0.25">
      <c r="G1950" s="1"/>
    </row>
    <row r="1951" spans="7:7" x14ac:dyDescent="0.25">
      <c r="G1951" s="1"/>
    </row>
    <row r="1952" spans="7:7" x14ac:dyDescent="0.25">
      <c r="G1952" s="1"/>
    </row>
    <row r="1953" spans="7:7" x14ac:dyDescent="0.25">
      <c r="G1953" s="1"/>
    </row>
    <row r="1954" spans="7:7" x14ac:dyDescent="0.25">
      <c r="G1954" s="1"/>
    </row>
    <row r="1955" spans="7:7" x14ac:dyDescent="0.25">
      <c r="G1955" s="1"/>
    </row>
    <row r="1956" spans="7:7" x14ac:dyDescent="0.25">
      <c r="G1956" s="1"/>
    </row>
    <row r="1957" spans="7:7" x14ac:dyDescent="0.25">
      <c r="G1957" s="1"/>
    </row>
    <row r="1958" spans="7:7" x14ac:dyDescent="0.25">
      <c r="G1958" s="1"/>
    </row>
    <row r="1959" spans="7:7" x14ac:dyDescent="0.25">
      <c r="G1959" s="1"/>
    </row>
    <row r="1960" spans="7:7" x14ac:dyDescent="0.25">
      <c r="G1960" s="1"/>
    </row>
    <row r="1961" spans="7:7" x14ac:dyDescent="0.25">
      <c r="G1961" s="1"/>
    </row>
    <row r="1962" spans="7:7" x14ac:dyDescent="0.25">
      <c r="G1962" s="1"/>
    </row>
    <row r="1963" spans="7:7" x14ac:dyDescent="0.25">
      <c r="G1963" s="1"/>
    </row>
    <row r="1964" spans="7:7" x14ac:dyDescent="0.25">
      <c r="G1964" s="1"/>
    </row>
    <row r="1965" spans="7:7" x14ac:dyDescent="0.25">
      <c r="G1965" s="1"/>
    </row>
    <row r="1966" spans="7:7" x14ac:dyDescent="0.25">
      <c r="G1966" s="1"/>
    </row>
    <row r="1967" spans="7:7" x14ac:dyDescent="0.25">
      <c r="G1967" s="1"/>
    </row>
    <row r="1968" spans="7:7" x14ac:dyDescent="0.25">
      <c r="G1968" s="1"/>
    </row>
    <row r="1969" spans="7:7" x14ac:dyDescent="0.25">
      <c r="G1969" s="1"/>
    </row>
    <row r="1970" spans="7:7" x14ac:dyDescent="0.25">
      <c r="G1970" s="1"/>
    </row>
    <row r="1971" spans="7:7" x14ac:dyDescent="0.25">
      <c r="G1971" s="1"/>
    </row>
    <row r="1972" spans="7:7" x14ac:dyDescent="0.25">
      <c r="G1972" s="1"/>
    </row>
    <row r="1973" spans="7:7" x14ac:dyDescent="0.25">
      <c r="G1973" s="1"/>
    </row>
    <row r="1974" spans="7:7" x14ac:dyDescent="0.25">
      <c r="G1974" s="1"/>
    </row>
    <row r="1975" spans="7:7" x14ac:dyDescent="0.25">
      <c r="G1975" s="1"/>
    </row>
    <row r="1976" spans="7:7" x14ac:dyDescent="0.25">
      <c r="G1976" s="1"/>
    </row>
    <row r="1977" spans="7:7" x14ac:dyDescent="0.25">
      <c r="G1977" s="1"/>
    </row>
    <row r="1978" spans="7:7" x14ac:dyDescent="0.25">
      <c r="G1978" s="1"/>
    </row>
    <row r="1979" spans="7:7" x14ac:dyDescent="0.25">
      <c r="G1979" s="1"/>
    </row>
    <row r="1980" spans="7:7" x14ac:dyDescent="0.25">
      <c r="G1980" s="1"/>
    </row>
    <row r="1981" spans="7:7" x14ac:dyDescent="0.25">
      <c r="G1981" s="1"/>
    </row>
    <row r="1982" spans="7:7" x14ac:dyDescent="0.25">
      <c r="G1982" s="1"/>
    </row>
    <row r="1983" spans="7:7" x14ac:dyDescent="0.25">
      <c r="G1983" s="1"/>
    </row>
    <row r="1984" spans="7:7" x14ac:dyDescent="0.25">
      <c r="G1984" s="1"/>
    </row>
    <row r="1985" spans="7:7" x14ac:dyDescent="0.25">
      <c r="G1985" s="1"/>
    </row>
    <row r="1986" spans="7:7" x14ac:dyDescent="0.25">
      <c r="G1986" s="1"/>
    </row>
    <row r="1987" spans="7:7" x14ac:dyDescent="0.25">
      <c r="G1987" s="1"/>
    </row>
    <row r="1988" spans="7:7" x14ac:dyDescent="0.25">
      <c r="G1988" s="1"/>
    </row>
    <row r="1989" spans="7:7" x14ac:dyDescent="0.25">
      <c r="G1989" s="1"/>
    </row>
    <row r="1990" spans="7:7" x14ac:dyDescent="0.25">
      <c r="G1990" s="1"/>
    </row>
    <row r="1991" spans="7:7" x14ac:dyDescent="0.25">
      <c r="G1991" s="1"/>
    </row>
    <row r="1992" spans="7:7" x14ac:dyDescent="0.25">
      <c r="G1992" s="1"/>
    </row>
    <row r="1993" spans="7:7" x14ac:dyDescent="0.25">
      <c r="G1993" s="1"/>
    </row>
    <row r="1994" spans="7:7" x14ac:dyDescent="0.25">
      <c r="G1994" s="1"/>
    </row>
    <row r="1995" spans="7:7" x14ac:dyDescent="0.25">
      <c r="G1995" s="1"/>
    </row>
    <row r="1996" spans="7:7" x14ac:dyDescent="0.25">
      <c r="G1996" s="1"/>
    </row>
    <row r="1997" spans="7:7" x14ac:dyDescent="0.25">
      <c r="G1997" s="1"/>
    </row>
    <row r="1998" spans="7:7" x14ac:dyDescent="0.25">
      <c r="G1998" s="1"/>
    </row>
    <row r="1999" spans="7:7" x14ac:dyDescent="0.25">
      <c r="G1999" s="1"/>
    </row>
    <row r="2000" spans="7:7" x14ac:dyDescent="0.25">
      <c r="G2000" s="1"/>
    </row>
    <row r="2001" spans="7:7" x14ac:dyDescent="0.25">
      <c r="G2001" s="1"/>
    </row>
    <row r="2002" spans="7:7" x14ac:dyDescent="0.25">
      <c r="G2002" s="1"/>
    </row>
    <row r="2003" spans="7:7" x14ac:dyDescent="0.25">
      <c r="G2003" s="1"/>
    </row>
    <row r="2004" spans="7:7" x14ac:dyDescent="0.25">
      <c r="G2004" s="1"/>
    </row>
    <row r="2005" spans="7:7" x14ac:dyDescent="0.25">
      <c r="G2005" s="1"/>
    </row>
    <row r="2006" spans="7:7" x14ac:dyDescent="0.25">
      <c r="G2006" s="1"/>
    </row>
    <row r="2007" spans="7:7" x14ac:dyDescent="0.25">
      <c r="G2007" s="1"/>
    </row>
    <row r="2008" spans="7:7" x14ac:dyDescent="0.25">
      <c r="G2008" s="1"/>
    </row>
    <row r="2009" spans="7:7" x14ac:dyDescent="0.25">
      <c r="G2009" s="1"/>
    </row>
    <row r="2010" spans="7:7" x14ac:dyDescent="0.25">
      <c r="G2010" s="1"/>
    </row>
    <row r="2011" spans="7:7" x14ac:dyDescent="0.25">
      <c r="G2011" s="1"/>
    </row>
    <row r="2012" spans="7:7" x14ac:dyDescent="0.25">
      <c r="G2012" s="1"/>
    </row>
    <row r="2013" spans="7:7" x14ac:dyDescent="0.25">
      <c r="G2013" s="1"/>
    </row>
    <row r="2014" spans="7:7" x14ac:dyDescent="0.25">
      <c r="G2014" s="1"/>
    </row>
    <row r="2015" spans="7:7" x14ac:dyDescent="0.25">
      <c r="G2015" s="1"/>
    </row>
    <row r="2016" spans="7:7" x14ac:dyDescent="0.25">
      <c r="G2016" s="1"/>
    </row>
    <row r="2017" spans="7:7" x14ac:dyDescent="0.25">
      <c r="G2017" s="1"/>
    </row>
    <row r="2018" spans="7:7" x14ac:dyDescent="0.25">
      <c r="G2018" s="1"/>
    </row>
    <row r="2019" spans="7:7" x14ac:dyDescent="0.25">
      <c r="G2019" s="1"/>
    </row>
    <row r="2020" spans="7:7" x14ac:dyDescent="0.25">
      <c r="G2020" s="1"/>
    </row>
    <row r="2021" spans="7:7" x14ac:dyDescent="0.25">
      <c r="G2021" s="1"/>
    </row>
    <row r="2022" spans="7:7" x14ac:dyDescent="0.25">
      <c r="G2022" s="1"/>
    </row>
    <row r="2023" spans="7:7" x14ac:dyDescent="0.25">
      <c r="G2023" s="1"/>
    </row>
    <row r="2024" spans="7:7" x14ac:dyDescent="0.25">
      <c r="G2024" s="1"/>
    </row>
    <row r="2025" spans="7:7" x14ac:dyDescent="0.25">
      <c r="G2025" s="1"/>
    </row>
    <row r="2026" spans="7:7" x14ac:dyDescent="0.25">
      <c r="G2026" s="1"/>
    </row>
    <row r="2027" spans="7:7" x14ac:dyDescent="0.25">
      <c r="G2027" s="1"/>
    </row>
    <row r="2028" spans="7:7" x14ac:dyDescent="0.25">
      <c r="G2028" s="1"/>
    </row>
    <row r="2029" spans="7:7" x14ac:dyDescent="0.25">
      <c r="G2029" s="1"/>
    </row>
    <row r="2030" spans="7:7" x14ac:dyDescent="0.25">
      <c r="G2030" s="1"/>
    </row>
    <row r="2031" spans="7:7" x14ac:dyDescent="0.25">
      <c r="G2031" s="1"/>
    </row>
    <row r="2032" spans="7:7" x14ac:dyDescent="0.25">
      <c r="G2032" s="1"/>
    </row>
    <row r="2033" spans="7:7" x14ac:dyDescent="0.25">
      <c r="G2033" s="1"/>
    </row>
    <row r="2034" spans="7:7" x14ac:dyDescent="0.25">
      <c r="G2034" s="1"/>
    </row>
    <row r="2035" spans="7:7" x14ac:dyDescent="0.25">
      <c r="G2035" s="1"/>
    </row>
    <row r="2036" spans="7:7" x14ac:dyDescent="0.25">
      <c r="G2036" s="1"/>
    </row>
    <row r="2037" spans="7:7" x14ac:dyDescent="0.25">
      <c r="G2037" s="1"/>
    </row>
    <row r="2038" spans="7:7" x14ac:dyDescent="0.25">
      <c r="G2038" s="1"/>
    </row>
    <row r="2039" spans="7:7" x14ac:dyDescent="0.25">
      <c r="G2039" s="1"/>
    </row>
    <row r="2040" spans="7:7" x14ac:dyDescent="0.25">
      <c r="G2040" s="1"/>
    </row>
    <row r="2041" spans="7:7" x14ac:dyDescent="0.25">
      <c r="G2041" s="1"/>
    </row>
    <row r="2042" spans="7:7" x14ac:dyDescent="0.25">
      <c r="G2042" s="1"/>
    </row>
    <row r="2043" spans="7:7" x14ac:dyDescent="0.25">
      <c r="G2043" s="1"/>
    </row>
    <row r="2044" spans="7:7" x14ac:dyDescent="0.25">
      <c r="G2044" s="1"/>
    </row>
    <row r="2045" spans="7:7" x14ac:dyDescent="0.25">
      <c r="G2045" s="1"/>
    </row>
    <row r="2046" spans="7:7" x14ac:dyDescent="0.25">
      <c r="G2046" s="1"/>
    </row>
    <row r="2047" spans="7:7" x14ac:dyDescent="0.25">
      <c r="G2047" s="1"/>
    </row>
    <row r="2048" spans="7:7" x14ac:dyDescent="0.25">
      <c r="G2048" s="1"/>
    </row>
    <row r="2049" spans="7:7" x14ac:dyDescent="0.25">
      <c r="G2049" s="1"/>
    </row>
    <row r="2050" spans="7:7" x14ac:dyDescent="0.25">
      <c r="G2050" s="1"/>
    </row>
    <row r="2051" spans="7:7" x14ac:dyDescent="0.25">
      <c r="G2051" s="1"/>
    </row>
    <row r="2052" spans="7:7" x14ac:dyDescent="0.25">
      <c r="G2052" s="1"/>
    </row>
    <row r="2053" spans="7:7" x14ac:dyDescent="0.25">
      <c r="G2053" s="1"/>
    </row>
    <row r="2054" spans="7:7" x14ac:dyDescent="0.25">
      <c r="G2054" s="1"/>
    </row>
    <row r="2055" spans="7:7" x14ac:dyDescent="0.25">
      <c r="G2055" s="1"/>
    </row>
    <row r="2056" spans="7:7" x14ac:dyDescent="0.25">
      <c r="G2056" s="1"/>
    </row>
    <row r="2057" spans="7:7" x14ac:dyDescent="0.25">
      <c r="G2057" s="1"/>
    </row>
    <row r="2058" spans="7:7" x14ac:dyDescent="0.25">
      <c r="G2058" s="1"/>
    </row>
    <row r="2059" spans="7:7" x14ac:dyDescent="0.25">
      <c r="G2059" s="1"/>
    </row>
    <row r="2060" spans="7:7" x14ac:dyDescent="0.25">
      <c r="G2060" s="1"/>
    </row>
    <row r="2061" spans="7:7" x14ac:dyDescent="0.25">
      <c r="G2061" s="1"/>
    </row>
    <row r="2062" spans="7:7" x14ac:dyDescent="0.25">
      <c r="G2062" s="1"/>
    </row>
    <row r="2063" spans="7:7" x14ac:dyDescent="0.25">
      <c r="G2063" s="1"/>
    </row>
    <row r="2064" spans="7:7" x14ac:dyDescent="0.25">
      <c r="G2064" s="1"/>
    </row>
    <row r="2065" spans="7:7" x14ac:dyDescent="0.25">
      <c r="G2065" s="1"/>
    </row>
    <row r="2066" spans="7:7" x14ac:dyDescent="0.25">
      <c r="G2066" s="1"/>
    </row>
    <row r="2067" spans="7:7" x14ac:dyDescent="0.25">
      <c r="G2067" s="1"/>
    </row>
    <row r="2068" spans="7:7" x14ac:dyDescent="0.25">
      <c r="G2068" s="1"/>
    </row>
    <row r="2069" spans="7:7" x14ac:dyDescent="0.25">
      <c r="G2069" s="1"/>
    </row>
    <row r="2070" spans="7:7" x14ac:dyDescent="0.25">
      <c r="G2070" s="1"/>
    </row>
    <row r="2071" spans="7:7" x14ac:dyDescent="0.25">
      <c r="G2071" s="1"/>
    </row>
    <row r="2072" spans="7:7" x14ac:dyDescent="0.25">
      <c r="G2072" s="1"/>
    </row>
    <row r="2073" spans="7:7" x14ac:dyDescent="0.25">
      <c r="G2073" s="1"/>
    </row>
    <row r="2074" spans="7:7" x14ac:dyDescent="0.25">
      <c r="G2074" s="1"/>
    </row>
    <row r="2075" spans="7:7" x14ac:dyDescent="0.25">
      <c r="G2075" s="1"/>
    </row>
    <row r="2076" spans="7:7" x14ac:dyDescent="0.25">
      <c r="G2076" s="1"/>
    </row>
    <row r="2077" spans="7:7" x14ac:dyDescent="0.25">
      <c r="G2077" s="1"/>
    </row>
    <row r="2078" spans="7:7" x14ac:dyDescent="0.25">
      <c r="G2078" s="1"/>
    </row>
    <row r="2079" spans="7:7" x14ac:dyDescent="0.25">
      <c r="G2079" s="1"/>
    </row>
    <row r="2080" spans="7:7" x14ac:dyDescent="0.25">
      <c r="G2080" s="1"/>
    </row>
    <row r="2081" spans="7:7" x14ac:dyDescent="0.25">
      <c r="G2081" s="1"/>
    </row>
    <row r="2082" spans="7:7" x14ac:dyDescent="0.25">
      <c r="G2082" s="1"/>
    </row>
    <row r="2083" spans="7:7" x14ac:dyDescent="0.25">
      <c r="G2083" s="1"/>
    </row>
    <row r="2084" spans="7:7" x14ac:dyDescent="0.25">
      <c r="G2084" s="1"/>
    </row>
    <row r="2085" spans="7:7" x14ac:dyDescent="0.25">
      <c r="G2085" s="1"/>
    </row>
    <row r="2086" spans="7:7" x14ac:dyDescent="0.25">
      <c r="G2086" s="1"/>
    </row>
    <row r="2087" spans="7:7" x14ac:dyDescent="0.25">
      <c r="G2087" s="1"/>
    </row>
    <row r="2088" spans="7:7" x14ac:dyDescent="0.25">
      <c r="G2088" s="1"/>
    </row>
    <row r="2089" spans="7:7" x14ac:dyDescent="0.25">
      <c r="G2089" s="1"/>
    </row>
    <row r="2090" spans="7:7" x14ac:dyDescent="0.25">
      <c r="G2090" s="1"/>
    </row>
    <row r="2091" spans="7:7" x14ac:dyDescent="0.25">
      <c r="G2091" s="1"/>
    </row>
    <row r="2092" spans="7:7" x14ac:dyDescent="0.25">
      <c r="G2092" s="1"/>
    </row>
    <row r="2093" spans="7:7" x14ac:dyDescent="0.25">
      <c r="G2093" s="1"/>
    </row>
    <row r="2094" spans="7:7" x14ac:dyDescent="0.25">
      <c r="G2094" s="1"/>
    </row>
    <row r="2095" spans="7:7" x14ac:dyDescent="0.25">
      <c r="G2095" s="1"/>
    </row>
    <row r="2096" spans="7:7" x14ac:dyDescent="0.25">
      <c r="G2096" s="1"/>
    </row>
    <row r="2097" spans="7:7" x14ac:dyDescent="0.25">
      <c r="G2097" s="1"/>
    </row>
    <row r="2098" spans="7:7" x14ac:dyDescent="0.25">
      <c r="G2098" s="1"/>
    </row>
    <row r="2099" spans="7:7" x14ac:dyDescent="0.25">
      <c r="G2099" s="1"/>
    </row>
    <row r="2100" spans="7:7" x14ac:dyDescent="0.25">
      <c r="G2100" s="1"/>
    </row>
    <row r="2101" spans="7:7" x14ac:dyDescent="0.25">
      <c r="G2101" s="1"/>
    </row>
    <row r="2102" spans="7:7" x14ac:dyDescent="0.25">
      <c r="G2102" s="1"/>
    </row>
    <row r="2103" spans="7:7" x14ac:dyDescent="0.25">
      <c r="G2103" s="1"/>
    </row>
    <row r="2104" spans="7:7" x14ac:dyDescent="0.25">
      <c r="G2104" s="1"/>
    </row>
    <row r="2105" spans="7:7" x14ac:dyDescent="0.25">
      <c r="G2105" s="1"/>
    </row>
    <row r="2106" spans="7:7" x14ac:dyDescent="0.25">
      <c r="G2106" s="1"/>
    </row>
    <row r="2107" spans="7:7" x14ac:dyDescent="0.25">
      <c r="G2107" s="1"/>
    </row>
    <row r="2108" spans="7:7" x14ac:dyDescent="0.25">
      <c r="G2108" s="1"/>
    </row>
    <row r="2109" spans="7:7" x14ac:dyDescent="0.25">
      <c r="G2109" s="1"/>
    </row>
    <row r="2110" spans="7:7" x14ac:dyDescent="0.25">
      <c r="G2110" s="1"/>
    </row>
    <row r="2111" spans="7:7" x14ac:dyDescent="0.25">
      <c r="G2111" s="1"/>
    </row>
    <row r="2112" spans="7:7" x14ac:dyDescent="0.25">
      <c r="G2112" s="1"/>
    </row>
    <row r="2113" spans="7:7" x14ac:dyDescent="0.25">
      <c r="G2113" s="1"/>
    </row>
    <row r="2114" spans="7:7" x14ac:dyDescent="0.25">
      <c r="G2114" s="1"/>
    </row>
    <row r="2115" spans="7:7" x14ac:dyDescent="0.25">
      <c r="G2115" s="1"/>
    </row>
    <row r="2116" spans="7:7" x14ac:dyDescent="0.25">
      <c r="G2116" s="1"/>
    </row>
    <row r="2117" spans="7:7" x14ac:dyDescent="0.25">
      <c r="G2117" s="1"/>
    </row>
    <row r="2118" spans="7:7" x14ac:dyDescent="0.25">
      <c r="G2118" s="1"/>
    </row>
    <row r="2119" spans="7:7" x14ac:dyDescent="0.25">
      <c r="G2119" s="1"/>
    </row>
    <row r="2120" spans="7:7" x14ac:dyDescent="0.25">
      <c r="G2120" s="1"/>
    </row>
    <row r="2121" spans="7:7" x14ac:dyDescent="0.25">
      <c r="G2121" s="1"/>
    </row>
    <row r="2122" spans="7:7" x14ac:dyDescent="0.25">
      <c r="G2122" s="1"/>
    </row>
    <row r="2123" spans="7:7" x14ac:dyDescent="0.25">
      <c r="G2123" s="1"/>
    </row>
    <row r="2124" spans="7:7" x14ac:dyDescent="0.25">
      <c r="G2124" s="1"/>
    </row>
    <row r="2125" spans="7:7" x14ac:dyDescent="0.25">
      <c r="G2125" s="1"/>
    </row>
    <row r="2126" spans="7:7" x14ac:dyDescent="0.25">
      <c r="G2126" s="1"/>
    </row>
    <row r="2127" spans="7:7" x14ac:dyDescent="0.25">
      <c r="G2127" s="1"/>
    </row>
    <row r="2128" spans="7:7" x14ac:dyDescent="0.25">
      <c r="G2128" s="1"/>
    </row>
    <row r="2129" spans="7:7" x14ac:dyDescent="0.25">
      <c r="G2129" s="1"/>
    </row>
    <row r="2130" spans="7:7" x14ac:dyDescent="0.25">
      <c r="G2130" s="1"/>
    </row>
    <row r="2131" spans="7:7" x14ac:dyDescent="0.25">
      <c r="G2131" s="1"/>
    </row>
    <row r="2132" spans="7:7" x14ac:dyDescent="0.25">
      <c r="G2132" s="1"/>
    </row>
    <row r="2133" spans="7:7" x14ac:dyDescent="0.25">
      <c r="G2133" s="1"/>
    </row>
    <row r="2134" spans="7:7" x14ac:dyDescent="0.25">
      <c r="G2134" s="1"/>
    </row>
    <row r="2135" spans="7:7" x14ac:dyDescent="0.25">
      <c r="G2135" s="1"/>
    </row>
    <row r="2136" spans="7:7" x14ac:dyDescent="0.25">
      <c r="G2136" s="1"/>
    </row>
    <row r="2137" spans="7:7" x14ac:dyDescent="0.25">
      <c r="G2137" s="1"/>
    </row>
    <row r="2138" spans="7:7" x14ac:dyDescent="0.25">
      <c r="G2138" s="1"/>
    </row>
    <row r="2139" spans="7:7" x14ac:dyDescent="0.25">
      <c r="G2139" s="1"/>
    </row>
    <row r="2140" spans="7:7" x14ac:dyDescent="0.25">
      <c r="G2140" s="1"/>
    </row>
    <row r="2141" spans="7:7" x14ac:dyDescent="0.25">
      <c r="G2141" s="1"/>
    </row>
    <row r="2142" spans="7:7" x14ac:dyDescent="0.25">
      <c r="G2142" s="1"/>
    </row>
    <row r="2143" spans="7:7" x14ac:dyDescent="0.25">
      <c r="G2143" s="1"/>
    </row>
    <row r="2144" spans="7:7" x14ac:dyDescent="0.25">
      <c r="G2144" s="1"/>
    </row>
    <row r="2145" spans="7:7" x14ac:dyDescent="0.25">
      <c r="G2145" s="1"/>
    </row>
    <row r="2146" spans="7:7" x14ac:dyDescent="0.25">
      <c r="G2146" s="1"/>
    </row>
    <row r="2147" spans="7:7" x14ac:dyDescent="0.25">
      <c r="G2147" s="1"/>
    </row>
    <row r="2148" spans="7:7" x14ac:dyDescent="0.25">
      <c r="G2148" s="1"/>
    </row>
    <row r="2149" spans="7:7" x14ac:dyDescent="0.25">
      <c r="G2149" s="1"/>
    </row>
    <row r="2150" spans="7:7" x14ac:dyDescent="0.25">
      <c r="G2150" s="1"/>
    </row>
    <row r="2151" spans="7:7" x14ac:dyDescent="0.25">
      <c r="G2151" s="1"/>
    </row>
    <row r="2152" spans="7:7" x14ac:dyDescent="0.25">
      <c r="G2152" s="1"/>
    </row>
    <row r="2153" spans="7:7" x14ac:dyDescent="0.25">
      <c r="G2153" s="1"/>
    </row>
    <row r="2154" spans="7:7" x14ac:dyDescent="0.25">
      <c r="G2154" s="1"/>
    </row>
    <row r="2155" spans="7:7" x14ac:dyDescent="0.25">
      <c r="G2155" s="1"/>
    </row>
    <row r="2156" spans="7:7" x14ac:dyDescent="0.25">
      <c r="G2156" s="1"/>
    </row>
    <row r="2157" spans="7:7" x14ac:dyDescent="0.25">
      <c r="G2157" s="1"/>
    </row>
    <row r="2158" spans="7:7" x14ac:dyDescent="0.25">
      <c r="G2158" s="1"/>
    </row>
    <row r="2159" spans="7:7" x14ac:dyDescent="0.25">
      <c r="G2159" s="1"/>
    </row>
    <row r="2160" spans="7:7" x14ac:dyDescent="0.25">
      <c r="G2160" s="1"/>
    </row>
    <row r="2161" spans="7:7" x14ac:dyDescent="0.25">
      <c r="G2161" s="1"/>
    </row>
    <row r="2162" spans="7:7" x14ac:dyDescent="0.25">
      <c r="G2162" s="1"/>
    </row>
    <row r="2163" spans="7:7" x14ac:dyDescent="0.25">
      <c r="G2163" s="1"/>
    </row>
    <row r="2164" spans="7:7" x14ac:dyDescent="0.25">
      <c r="G2164" s="1"/>
    </row>
    <row r="2165" spans="7:7" x14ac:dyDescent="0.25">
      <c r="G2165" s="1"/>
    </row>
    <row r="2166" spans="7:7" x14ac:dyDescent="0.25">
      <c r="G2166" s="1"/>
    </row>
    <row r="2167" spans="7:7" x14ac:dyDescent="0.25">
      <c r="G2167" s="1"/>
    </row>
    <row r="2168" spans="7:7" x14ac:dyDescent="0.25">
      <c r="G2168" s="1"/>
    </row>
    <row r="2169" spans="7:7" x14ac:dyDescent="0.25">
      <c r="G2169" s="1"/>
    </row>
    <row r="2170" spans="7:7" x14ac:dyDescent="0.25">
      <c r="G2170" s="1"/>
    </row>
    <row r="2171" spans="7:7" x14ac:dyDescent="0.25">
      <c r="G2171" s="1"/>
    </row>
    <row r="2172" spans="7:7" x14ac:dyDescent="0.25">
      <c r="G2172" s="1"/>
    </row>
    <row r="2173" spans="7:7" x14ac:dyDescent="0.25">
      <c r="G2173" s="1"/>
    </row>
    <row r="2174" spans="7:7" x14ac:dyDescent="0.25">
      <c r="G2174" s="1"/>
    </row>
    <row r="2175" spans="7:7" x14ac:dyDescent="0.25">
      <c r="G2175" s="1"/>
    </row>
    <row r="2176" spans="7:7" x14ac:dyDescent="0.25">
      <c r="G2176" s="1"/>
    </row>
    <row r="2177" spans="7:7" x14ac:dyDescent="0.25">
      <c r="G2177" s="1"/>
    </row>
    <row r="2178" spans="7:7" x14ac:dyDescent="0.25">
      <c r="G2178" s="1"/>
    </row>
    <row r="2179" spans="7:7" x14ac:dyDescent="0.25">
      <c r="G2179" s="1"/>
    </row>
    <row r="2180" spans="7:7" x14ac:dyDescent="0.25">
      <c r="G2180" s="1"/>
    </row>
    <row r="2181" spans="7:7" x14ac:dyDescent="0.25">
      <c r="G2181" s="1"/>
    </row>
    <row r="2182" spans="7:7" x14ac:dyDescent="0.25">
      <c r="G2182" s="1"/>
    </row>
    <row r="2183" spans="7:7" x14ac:dyDescent="0.25">
      <c r="G2183" s="1"/>
    </row>
    <row r="2184" spans="7:7" x14ac:dyDescent="0.25">
      <c r="G2184" s="1"/>
    </row>
    <row r="2185" spans="7:7" x14ac:dyDescent="0.25">
      <c r="G2185" s="1"/>
    </row>
    <row r="2186" spans="7:7" x14ac:dyDescent="0.25">
      <c r="G2186" s="1"/>
    </row>
    <row r="2187" spans="7:7" x14ac:dyDescent="0.25">
      <c r="G2187" s="1"/>
    </row>
    <row r="2188" spans="7:7" x14ac:dyDescent="0.25">
      <c r="G2188" s="1"/>
    </row>
    <row r="2189" spans="7:7" x14ac:dyDescent="0.25">
      <c r="G2189" s="1"/>
    </row>
    <row r="2190" spans="7:7" x14ac:dyDescent="0.25">
      <c r="G2190" s="1"/>
    </row>
    <row r="2191" spans="7:7" x14ac:dyDescent="0.25">
      <c r="G2191" s="1"/>
    </row>
    <row r="2192" spans="7:7" x14ac:dyDescent="0.25">
      <c r="G2192" s="1"/>
    </row>
    <row r="2193" spans="7:7" x14ac:dyDescent="0.25">
      <c r="G2193" s="1"/>
    </row>
    <row r="2194" spans="7:7" x14ac:dyDescent="0.25">
      <c r="G2194" s="1"/>
    </row>
    <row r="2195" spans="7:7" x14ac:dyDescent="0.25">
      <c r="G2195" s="1"/>
    </row>
    <row r="2196" spans="7:7" x14ac:dyDescent="0.25">
      <c r="G2196" s="1"/>
    </row>
    <row r="2197" spans="7:7" x14ac:dyDescent="0.25">
      <c r="G2197" s="1"/>
    </row>
    <row r="2198" spans="7:7" x14ac:dyDescent="0.25">
      <c r="G2198" s="1"/>
    </row>
    <row r="2199" spans="7:7" x14ac:dyDescent="0.25">
      <c r="G2199" s="1"/>
    </row>
    <row r="2200" spans="7:7" x14ac:dyDescent="0.25">
      <c r="G2200" s="1"/>
    </row>
    <row r="2201" spans="7:7" x14ac:dyDescent="0.25">
      <c r="G2201" s="1"/>
    </row>
    <row r="2202" spans="7:7" x14ac:dyDescent="0.25">
      <c r="G2202" s="1"/>
    </row>
    <row r="2203" spans="7:7" x14ac:dyDescent="0.25">
      <c r="G2203" s="1"/>
    </row>
    <row r="2204" spans="7:7" x14ac:dyDescent="0.25">
      <c r="G2204" s="1"/>
    </row>
    <row r="2205" spans="7:7" x14ac:dyDescent="0.25">
      <c r="G2205" s="1"/>
    </row>
    <row r="2206" spans="7:7" x14ac:dyDescent="0.25">
      <c r="G2206" s="1"/>
    </row>
    <row r="2207" spans="7:7" x14ac:dyDescent="0.25">
      <c r="G2207" s="1"/>
    </row>
    <row r="2208" spans="7:7" x14ac:dyDescent="0.25">
      <c r="G2208" s="1"/>
    </row>
    <row r="2209" spans="7:7" x14ac:dyDescent="0.25">
      <c r="G2209" s="1"/>
    </row>
    <row r="2210" spans="7:7" x14ac:dyDescent="0.25">
      <c r="G2210" s="1"/>
    </row>
    <row r="2211" spans="7:7" x14ac:dyDescent="0.25">
      <c r="G2211" s="1"/>
    </row>
    <row r="2212" spans="7:7" x14ac:dyDescent="0.25">
      <c r="G2212" s="1"/>
    </row>
    <row r="2213" spans="7:7" x14ac:dyDescent="0.25">
      <c r="G2213" s="1"/>
    </row>
    <row r="2214" spans="7:7" x14ac:dyDescent="0.25">
      <c r="G2214" s="1"/>
    </row>
    <row r="2215" spans="7:7" x14ac:dyDescent="0.25">
      <c r="G2215" s="1"/>
    </row>
    <row r="2216" spans="7:7" x14ac:dyDescent="0.25">
      <c r="G2216" s="1"/>
    </row>
    <row r="2217" spans="7:7" x14ac:dyDescent="0.25">
      <c r="G2217" s="1"/>
    </row>
    <row r="2218" spans="7:7" x14ac:dyDescent="0.25">
      <c r="G2218" s="1"/>
    </row>
    <row r="2219" spans="7:7" x14ac:dyDescent="0.25">
      <c r="G2219" s="1"/>
    </row>
    <row r="2220" spans="7:7" x14ac:dyDescent="0.25">
      <c r="G2220" s="1"/>
    </row>
    <row r="2221" spans="7:7" x14ac:dyDescent="0.25">
      <c r="G2221" s="1"/>
    </row>
    <row r="2222" spans="7:7" x14ac:dyDescent="0.25">
      <c r="G2222" s="1"/>
    </row>
    <row r="2223" spans="7:7" x14ac:dyDescent="0.25">
      <c r="G2223" s="1"/>
    </row>
    <row r="2224" spans="7:7" x14ac:dyDescent="0.25">
      <c r="G2224" s="1"/>
    </row>
    <row r="2225" spans="7:7" x14ac:dyDescent="0.25">
      <c r="G2225" s="1"/>
    </row>
    <row r="2226" spans="7:7" x14ac:dyDescent="0.25">
      <c r="G2226" s="1"/>
    </row>
    <row r="2227" spans="7:7" x14ac:dyDescent="0.25">
      <c r="G2227" s="1"/>
    </row>
    <row r="2228" spans="7:7" x14ac:dyDescent="0.25">
      <c r="G2228" s="1"/>
    </row>
    <row r="2229" spans="7:7" x14ac:dyDescent="0.25">
      <c r="G2229" s="1"/>
    </row>
    <row r="2230" spans="7:7" x14ac:dyDescent="0.25">
      <c r="G2230" s="1"/>
    </row>
    <row r="2231" spans="7:7" x14ac:dyDescent="0.25">
      <c r="G2231" s="1"/>
    </row>
    <row r="2232" spans="7:7" x14ac:dyDescent="0.25">
      <c r="G2232" s="1"/>
    </row>
    <row r="2233" spans="7:7" x14ac:dyDescent="0.25">
      <c r="G2233" s="1"/>
    </row>
    <row r="2234" spans="7:7" x14ac:dyDescent="0.25">
      <c r="G2234" s="1"/>
    </row>
    <row r="2235" spans="7:7" x14ac:dyDescent="0.25">
      <c r="G2235" s="1"/>
    </row>
    <row r="2236" spans="7:7" x14ac:dyDescent="0.25">
      <c r="G2236" s="1"/>
    </row>
    <row r="2237" spans="7:7" x14ac:dyDescent="0.25">
      <c r="G2237" s="1"/>
    </row>
    <row r="2238" spans="7:7" x14ac:dyDescent="0.25">
      <c r="G2238" s="1"/>
    </row>
    <row r="2239" spans="7:7" x14ac:dyDescent="0.25">
      <c r="G2239" s="1"/>
    </row>
    <row r="2240" spans="7:7" x14ac:dyDescent="0.25">
      <c r="G2240" s="1"/>
    </row>
    <row r="2241" spans="7:7" x14ac:dyDescent="0.25">
      <c r="G2241" s="1"/>
    </row>
    <row r="2242" spans="7:7" x14ac:dyDescent="0.25">
      <c r="G2242" s="1"/>
    </row>
    <row r="2243" spans="7:7" x14ac:dyDescent="0.25">
      <c r="G2243" s="1"/>
    </row>
    <row r="2244" spans="7:7" x14ac:dyDescent="0.25">
      <c r="G2244" s="1"/>
    </row>
    <row r="2245" spans="7:7" x14ac:dyDescent="0.25">
      <c r="G2245" s="1"/>
    </row>
    <row r="2246" spans="7:7" x14ac:dyDescent="0.25">
      <c r="G2246" s="1"/>
    </row>
    <row r="2247" spans="7:7" x14ac:dyDescent="0.25">
      <c r="G2247" s="1"/>
    </row>
    <row r="2248" spans="7:7" x14ac:dyDescent="0.25">
      <c r="G2248" s="1"/>
    </row>
    <row r="2249" spans="7:7" x14ac:dyDescent="0.25">
      <c r="G2249" s="1"/>
    </row>
    <row r="2250" spans="7:7" x14ac:dyDescent="0.25">
      <c r="G2250" s="1"/>
    </row>
    <row r="2251" spans="7:7" x14ac:dyDescent="0.25">
      <c r="G2251" s="1"/>
    </row>
    <row r="2252" spans="7:7" x14ac:dyDescent="0.25">
      <c r="G2252" s="1"/>
    </row>
    <row r="2253" spans="7:7" x14ac:dyDescent="0.25">
      <c r="G2253" s="1"/>
    </row>
    <row r="2254" spans="7:7" x14ac:dyDescent="0.25">
      <c r="G2254" s="1"/>
    </row>
    <row r="2255" spans="7:7" x14ac:dyDescent="0.25">
      <c r="G2255" s="1"/>
    </row>
    <row r="2256" spans="7:7" x14ac:dyDescent="0.25">
      <c r="G2256" s="1"/>
    </row>
    <row r="2257" spans="7:7" x14ac:dyDescent="0.25">
      <c r="G2257" s="1"/>
    </row>
    <row r="2258" spans="7:7" x14ac:dyDescent="0.25">
      <c r="G2258" s="1"/>
    </row>
    <row r="2259" spans="7:7" x14ac:dyDescent="0.25">
      <c r="G2259" s="1"/>
    </row>
    <row r="2260" spans="7:7" x14ac:dyDescent="0.25">
      <c r="G2260" s="1"/>
    </row>
    <row r="2261" spans="7:7" x14ac:dyDescent="0.25">
      <c r="G2261" s="1"/>
    </row>
    <row r="2262" spans="7:7" x14ac:dyDescent="0.25">
      <c r="G2262" s="1"/>
    </row>
    <row r="2263" spans="7:7" x14ac:dyDescent="0.25">
      <c r="G2263" s="1"/>
    </row>
    <row r="2264" spans="7:7" x14ac:dyDescent="0.25">
      <c r="G2264" s="1"/>
    </row>
    <row r="2265" spans="7:7" x14ac:dyDescent="0.25">
      <c r="G2265" s="1"/>
    </row>
    <row r="2266" spans="7:7" x14ac:dyDescent="0.25">
      <c r="G2266" s="1"/>
    </row>
    <row r="2267" spans="7:7" x14ac:dyDescent="0.25">
      <c r="G2267" s="1"/>
    </row>
    <row r="2268" spans="7:7" x14ac:dyDescent="0.25">
      <c r="G2268" s="1"/>
    </row>
    <row r="2269" spans="7:7" x14ac:dyDescent="0.25">
      <c r="G2269" s="1"/>
    </row>
    <row r="2270" spans="7:7" x14ac:dyDescent="0.25">
      <c r="G2270" s="1"/>
    </row>
    <row r="2271" spans="7:7" x14ac:dyDescent="0.25">
      <c r="G2271" s="1"/>
    </row>
    <row r="2272" spans="7:7" x14ac:dyDescent="0.25">
      <c r="G2272" s="1"/>
    </row>
    <row r="2273" spans="7:7" x14ac:dyDescent="0.25">
      <c r="G2273" s="1"/>
    </row>
    <row r="2274" spans="7:7" x14ac:dyDescent="0.25">
      <c r="G2274" s="1"/>
    </row>
    <row r="2275" spans="7:7" x14ac:dyDescent="0.25">
      <c r="G2275" s="1"/>
    </row>
    <row r="2276" spans="7:7" x14ac:dyDescent="0.25">
      <c r="G2276" s="1"/>
    </row>
    <row r="2277" spans="7:7" x14ac:dyDescent="0.25">
      <c r="G2277" s="1"/>
    </row>
    <row r="2278" spans="7:7" x14ac:dyDescent="0.25">
      <c r="G2278" s="1"/>
    </row>
    <row r="2279" spans="7:7" x14ac:dyDescent="0.25">
      <c r="G2279" s="1"/>
    </row>
    <row r="2280" spans="7:7" x14ac:dyDescent="0.25">
      <c r="G2280" s="1"/>
    </row>
    <row r="2281" spans="7:7" x14ac:dyDescent="0.25">
      <c r="G2281" s="1"/>
    </row>
    <row r="2282" spans="7:7" x14ac:dyDescent="0.25">
      <c r="G2282" s="1"/>
    </row>
    <row r="2283" spans="7:7" x14ac:dyDescent="0.25">
      <c r="G2283" s="1"/>
    </row>
    <row r="2284" spans="7:7" x14ac:dyDescent="0.25">
      <c r="G2284" s="1"/>
    </row>
    <row r="2285" spans="7:7" x14ac:dyDescent="0.25">
      <c r="G2285" s="1"/>
    </row>
    <row r="2286" spans="7:7" x14ac:dyDescent="0.25">
      <c r="G2286" s="1"/>
    </row>
    <row r="2287" spans="7:7" x14ac:dyDescent="0.25">
      <c r="G2287" s="1"/>
    </row>
    <row r="2288" spans="7:7" x14ac:dyDescent="0.25">
      <c r="G2288" s="1"/>
    </row>
    <row r="2289" spans="7:7" x14ac:dyDescent="0.25">
      <c r="G2289" s="1"/>
    </row>
    <row r="2290" spans="7:7" x14ac:dyDescent="0.25">
      <c r="G2290" s="1"/>
    </row>
    <row r="2291" spans="7:7" x14ac:dyDescent="0.25">
      <c r="G2291" s="1"/>
    </row>
    <row r="2292" spans="7:7" x14ac:dyDescent="0.25">
      <c r="G2292" s="1"/>
    </row>
    <row r="2293" spans="7:7" x14ac:dyDescent="0.25">
      <c r="G2293" s="1"/>
    </row>
    <row r="2294" spans="7:7" x14ac:dyDescent="0.25">
      <c r="G2294" s="1"/>
    </row>
    <row r="2295" spans="7:7" x14ac:dyDescent="0.25">
      <c r="G2295" s="1"/>
    </row>
    <row r="2296" spans="7:7" x14ac:dyDescent="0.25">
      <c r="G2296" s="1"/>
    </row>
    <row r="2297" spans="7:7" x14ac:dyDescent="0.25">
      <c r="G2297" s="1"/>
    </row>
    <row r="2298" spans="7:7" x14ac:dyDescent="0.25">
      <c r="G2298" s="1"/>
    </row>
    <row r="2299" spans="7:7" x14ac:dyDescent="0.25">
      <c r="G2299" s="1"/>
    </row>
    <row r="2300" spans="7:7" x14ac:dyDescent="0.25">
      <c r="G2300" s="1"/>
    </row>
    <row r="2301" spans="7:7" x14ac:dyDescent="0.25">
      <c r="G2301" s="1"/>
    </row>
    <row r="2302" spans="7:7" x14ac:dyDescent="0.25">
      <c r="G2302" s="1"/>
    </row>
    <row r="2303" spans="7:7" x14ac:dyDescent="0.25">
      <c r="G2303" s="1"/>
    </row>
    <row r="2304" spans="7:7" x14ac:dyDescent="0.25">
      <c r="G2304" s="1"/>
    </row>
    <row r="2305" spans="7:7" x14ac:dyDescent="0.25">
      <c r="G2305" s="1"/>
    </row>
    <row r="2306" spans="7:7" x14ac:dyDescent="0.25">
      <c r="G2306" s="1"/>
    </row>
    <row r="2307" spans="7:7" x14ac:dyDescent="0.25">
      <c r="G2307" s="1"/>
    </row>
    <row r="2308" spans="7:7" x14ac:dyDescent="0.25">
      <c r="G2308" s="1"/>
    </row>
    <row r="2309" spans="7:7" x14ac:dyDescent="0.25">
      <c r="G2309" s="1"/>
    </row>
    <row r="2310" spans="7:7" x14ac:dyDescent="0.25">
      <c r="G2310" s="1"/>
    </row>
    <row r="2311" spans="7:7" x14ac:dyDescent="0.25">
      <c r="G2311" s="1"/>
    </row>
    <row r="2312" spans="7:7" x14ac:dyDescent="0.25">
      <c r="G2312" s="1"/>
    </row>
    <row r="2313" spans="7:7" x14ac:dyDescent="0.25">
      <c r="G2313" s="1"/>
    </row>
    <row r="2314" spans="7:7" x14ac:dyDescent="0.25">
      <c r="G2314" s="1"/>
    </row>
    <row r="2315" spans="7:7" x14ac:dyDescent="0.25">
      <c r="G2315" s="1"/>
    </row>
    <row r="2316" spans="7:7" x14ac:dyDescent="0.25">
      <c r="G2316" s="1"/>
    </row>
    <row r="2317" spans="7:7" x14ac:dyDescent="0.25">
      <c r="G2317" s="1"/>
    </row>
    <row r="2318" spans="7:7" x14ac:dyDescent="0.25">
      <c r="G2318" s="1"/>
    </row>
    <row r="2319" spans="7:7" x14ac:dyDescent="0.25">
      <c r="G2319" s="1"/>
    </row>
    <row r="2320" spans="7:7" x14ac:dyDescent="0.25">
      <c r="G2320" s="1"/>
    </row>
    <row r="2321" spans="7:7" x14ac:dyDescent="0.25">
      <c r="G2321" s="1"/>
    </row>
    <row r="2322" spans="7:7" x14ac:dyDescent="0.25">
      <c r="G2322" s="1"/>
    </row>
    <row r="2323" spans="7:7" x14ac:dyDescent="0.25">
      <c r="G2323" s="1"/>
    </row>
    <row r="2324" spans="7:7" x14ac:dyDescent="0.25">
      <c r="G2324" s="1"/>
    </row>
    <row r="2325" spans="7:7" x14ac:dyDescent="0.25">
      <c r="G2325" s="1"/>
    </row>
    <row r="2326" spans="7:7" x14ac:dyDescent="0.25">
      <c r="G2326" s="1"/>
    </row>
    <row r="2327" spans="7:7" x14ac:dyDescent="0.25">
      <c r="G2327" s="1"/>
    </row>
    <row r="2328" spans="7:7" x14ac:dyDescent="0.25">
      <c r="G2328" s="1"/>
    </row>
    <row r="2329" spans="7:7" x14ac:dyDescent="0.25">
      <c r="G2329" s="1"/>
    </row>
    <row r="2330" spans="7:7" x14ac:dyDescent="0.25">
      <c r="G2330" s="1"/>
    </row>
    <row r="2331" spans="7:7" x14ac:dyDescent="0.25">
      <c r="G2331" s="1"/>
    </row>
    <row r="2332" spans="7:7" x14ac:dyDescent="0.25">
      <c r="G2332" s="1"/>
    </row>
    <row r="2333" spans="7:7" x14ac:dyDescent="0.25">
      <c r="G2333" s="1"/>
    </row>
    <row r="2334" spans="7:7" x14ac:dyDescent="0.25">
      <c r="G2334" s="1"/>
    </row>
    <row r="2335" spans="7:7" x14ac:dyDescent="0.25">
      <c r="G2335" s="1"/>
    </row>
    <row r="2336" spans="7:7" x14ac:dyDescent="0.25">
      <c r="G2336" s="1"/>
    </row>
    <row r="2337" spans="7:7" x14ac:dyDescent="0.25">
      <c r="G2337" s="1"/>
    </row>
    <row r="2338" spans="7:7" x14ac:dyDescent="0.25">
      <c r="G2338" s="1"/>
    </row>
    <row r="2339" spans="7:7" x14ac:dyDescent="0.25">
      <c r="G2339" s="1"/>
    </row>
    <row r="2340" spans="7:7" x14ac:dyDescent="0.25">
      <c r="G2340" s="1"/>
    </row>
    <row r="2341" spans="7:7" x14ac:dyDescent="0.25">
      <c r="G2341" s="1"/>
    </row>
    <row r="2342" spans="7:7" x14ac:dyDescent="0.25">
      <c r="G2342" s="1"/>
    </row>
    <row r="2343" spans="7:7" x14ac:dyDescent="0.25">
      <c r="G2343" s="1"/>
    </row>
    <row r="2344" spans="7:7" x14ac:dyDescent="0.25">
      <c r="G2344" s="1"/>
    </row>
    <row r="2345" spans="7:7" x14ac:dyDescent="0.25">
      <c r="G2345" s="1"/>
    </row>
    <row r="2346" spans="7:7" x14ac:dyDescent="0.25">
      <c r="G2346" s="1"/>
    </row>
    <row r="2347" spans="7:7" x14ac:dyDescent="0.25">
      <c r="G2347" s="1"/>
    </row>
    <row r="2348" spans="7:7" x14ac:dyDescent="0.25">
      <c r="G2348" s="1"/>
    </row>
    <row r="2349" spans="7:7" x14ac:dyDescent="0.25">
      <c r="G2349" s="1"/>
    </row>
    <row r="2350" spans="7:7" x14ac:dyDescent="0.25">
      <c r="G2350" s="1"/>
    </row>
    <row r="2351" spans="7:7" x14ac:dyDescent="0.25">
      <c r="G2351" s="1"/>
    </row>
    <row r="2352" spans="7:7" x14ac:dyDescent="0.25">
      <c r="G2352" s="1"/>
    </row>
    <row r="2353" spans="7:7" x14ac:dyDescent="0.25">
      <c r="G2353" s="1"/>
    </row>
    <row r="2354" spans="7:7" x14ac:dyDescent="0.25">
      <c r="G2354" s="1"/>
    </row>
    <row r="2355" spans="7:7" x14ac:dyDescent="0.25">
      <c r="G2355" s="1"/>
    </row>
    <row r="2356" spans="7:7" x14ac:dyDescent="0.25">
      <c r="G2356" s="1"/>
    </row>
    <row r="2357" spans="7:7" x14ac:dyDescent="0.25">
      <c r="G2357" s="1"/>
    </row>
    <row r="2358" spans="7:7" x14ac:dyDescent="0.25">
      <c r="G2358" s="1"/>
    </row>
    <row r="2359" spans="7:7" x14ac:dyDescent="0.25">
      <c r="G2359" s="1"/>
    </row>
    <row r="2360" spans="7:7" x14ac:dyDescent="0.25">
      <c r="G2360" s="1"/>
    </row>
    <row r="2361" spans="7:7" x14ac:dyDescent="0.25">
      <c r="G2361" s="1"/>
    </row>
    <row r="2362" spans="7:7" x14ac:dyDescent="0.25">
      <c r="G2362" s="1"/>
    </row>
    <row r="2363" spans="7:7" x14ac:dyDescent="0.25">
      <c r="G2363" s="1"/>
    </row>
    <row r="2364" spans="7:7" x14ac:dyDescent="0.25">
      <c r="G2364" s="1"/>
    </row>
    <row r="2365" spans="7:7" x14ac:dyDescent="0.25">
      <c r="G2365" s="1"/>
    </row>
    <row r="2366" spans="7:7" x14ac:dyDescent="0.25">
      <c r="G2366" s="1"/>
    </row>
    <row r="2367" spans="7:7" x14ac:dyDescent="0.25">
      <c r="G2367" s="1"/>
    </row>
    <row r="2368" spans="7:7" x14ac:dyDescent="0.25">
      <c r="G2368" s="1"/>
    </row>
    <row r="2369" spans="7:7" x14ac:dyDescent="0.25">
      <c r="G2369" s="1"/>
    </row>
    <row r="2370" spans="7:7" x14ac:dyDescent="0.25">
      <c r="G2370" s="1"/>
    </row>
    <row r="2371" spans="7:7" x14ac:dyDescent="0.25">
      <c r="G2371" s="1"/>
    </row>
    <row r="2372" spans="7:7" x14ac:dyDescent="0.25">
      <c r="G2372" s="1"/>
    </row>
    <row r="2373" spans="7:7" x14ac:dyDescent="0.25">
      <c r="G2373" s="1"/>
    </row>
    <row r="2374" spans="7:7" x14ac:dyDescent="0.25">
      <c r="G2374" s="1"/>
    </row>
    <row r="2375" spans="7:7" x14ac:dyDescent="0.25">
      <c r="G2375" s="1"/>
    </row>
    <row r="2376" spans="7:7" x14ac:dyDescent="0.25">
      <c r="G2376" s="1"/>
    </row>
    <row r="2377" spans="7:7" x14ac:dyDescent="0.25">
      <c r="G2377" s="1"/>
    </row>
    <row r="2378" spans="7:7" x14ac:dyDescent="0.25">
      <c r="G2378" s="1"/>
    </row>
    <row r="2379" spans="7:7" x14ac:dyDescent="0.25">
      <c r="G2379" s="1"/>
    </row>
    <row r="2380" spans="7:7" x14ac:dyDescent="0.25">
      <c r="G2380" s="1"/>
    </row>
    <row r="2381" spans="7:7" x14ac:dyDescent="0.25">
      <c r="G2381" s="1"/>
    </row>
    <row r="2382" spans="7:7" x14ac:dyDescent="0.25">
      <c r="G2382" s="1"/>
    </row>
    <row r="2383" spans="7:7" x14ac:dyDescent="0.25">
      <c r="G2383" s="1"/>
    </row>
    <row r="2384" spans="7:7" x14ac:dyDescent="0.25">
      <c r="G2384" s="1"/>
    </row>
    <row r="2385" spans="7:7" x14ac:dyDescent="0.25">
      <c r="G2385" s="1"/>
    </row>
    <row r="2386" spans="7:7" x14ac:dyDescent="0.25">
      <c r="G2386" s="1"/>
    </row>
    <row r="2387" spans="7:7" x14ac:dyDescent="0.25">
      <c r="G2387" s="1"/>
    </row>
    <row r="2388" spans="7:7" x14ac:dyDescent="0.25">
      <c r="G2388" s="1"/>
    </row>
    <row r="2389" spans="7:7" x14ac:dyDescent="0.25">
      <c r="G2389" s="1"/>
    </row>
    <row r="2390" spans="7:7" x14ac:dyDescent="0.25">
      <c r="G2390" s="1"/>
    </row>
    <row r="2391" spans="7:7" x14ac:dyDescent="0.25">
      <c r="G2391" s="1"/>
    </row>
    <row r="2392" spans="7:7" x14ac:dyDescent="0.25">
      <c r="G2392" s="1"/>
    </row>
    <row r="2393" spans="7:7" x14ac:dyDescent="0.25">
      <c r="G2393" s="1"/>
    </row>
    <row r="2394" spans="7:7" x14ac:dyDescent="0.25">
      <c r="G2394" s="1"/>
    </row>
    <row r="2395" spans="7:7" x14ac:dyDescent="0.25">
      <c r="G2395" s="1"/>
    </row>
    <row r="2396" spans="7:7" x14ac:dyDescent="0.25">
      <c r="G2396" s="1"/>
    </row>
    <row r="2397" spans="7:7" x14ac:dyDescent="0.25">
      <c r="G2397" s="1"/>
    </row>
    <row r="2398" spans="7:7" x14ac:dyDescent="0.25">
      <c r="G2398" s="1"/>
    </row>
    <row r="2399" spans="7:7" x14ac:dyDescent="0.25">
      <c r="G2399" s="1"/>
    </row>
    <row r="2400" spans="7:7" x14ac:dyDescent="0.25">
      <c r="G2400" s="1"/>
    </row>
    <row r="2401" spans="7:7" x14ac:dyDescent="0.25">
      <c r="G2401" s="1"/>
    </row>
    <row r="2402" spans="7:7" x14ac:dyDescent="0.25">
      <c r="G2402" s="1"/>
    </row>
    <row r="2403" spans="7:7" x14ac:dyDescent="0.25">
      <c r="G2403" s="1"/>
    </row>
    <row r="2404" spans="7:7" x14ac:dyDescent="0.25">
      <c r="G2404" s="1"/>
    </row>
    <row r="2405" spans="7:7" x14ac:dyDescent="0.25">
      <c r="G2405" s="1"/>
    </row>
    <row r="2406" spans="7:7" x14ac:dyDescent="0.25">
      <c r="G2406" s="1"/>
    </row>
    <row r="2407" spans="7:7" x14ac:dyDescent="0.25">
      <c r="G2407" s="1"/>
    </row>
    <row r="2408" spans="7:7" x14ac:dyDescent="0.25">
      <c r="G2408" s="1"/>
    </row>
    <row r="2409" spans="7:7" x14ac:dyDescent="0.25">
      <c r="G2409" s="1"/>
    </row>
    <row r="2410" spans="7:7" x14ac:dyDescent="0.25">
      <c r="G2410" s="1"/>
    </row>
    <row r="2411" spans="7:7" x14ac:dyDescent="0.25">
      <c r="G2411" s="1"/>
    </row>
    <row r="2412" spans="7:7" x14ac:dyDescent="0.25">
      <c r="G2412" s="1"/>
    </row>
    <row r="2413" spans="7:7" x14ac:dyDescent="0.25">
      <c r="G2413" s="1"/>
    </row>
    <row r="2414" spans="7:7" x14ac:dyDescent="0.25">
      <c r="G2414" s="1"/>
    </row>
    <row r="2415" spans="7:7" x14ac:dyDescent="0.25">
      <c r="G2415" s="1"/>
    </row>
    <row r="2416" spans="7:7" x14ac:dyDescent="0.25">
      <c r="G2416" s="1"/>
    </row>
    <row r="2417" spans="7:7" x14ac:dyDescent="0.25">
      <c r="G2417" s="1"/>
    </row>
    <row r="2418" spans="7:7" x14ac:dyDescent="0.25">
      <c r="G2418" s="1"/>
    </row>
    <row r="2419" spans="7:7" x14ac:dyDescent="0.25">
      <c r="G2419" s="1"/>
    </row>
    <row r="2420" spans="7:7" x14ac:dyDescent="0.25">
      <c r="G2420" s="1"/>
    </row>
    <row r="2421" spans="7:7" x14ac:dyDescent="0.25">
      <c r="G2421" s="1"/>
    </row>
    <row r="2422" spans="7:7" x14ac:dyDescent="0.25">
      <c r="G2422" s="1"/>
    </row>
    <row r="2423" spans="7:7" x14ac:dyDescent="0.25">
      <c r="G2423" s="1"/>
    </row>
    <row r="2424" spans="7:7" x14ac:dyDescent="0.25">
      <c r="G2424" s="1"/>
    </row>
    <row r="2425" spans="7:7" x14ac:dyDescent="0.25">
      <c r="G2425" s="1"/>
    </row>
    <row r="2426" spans="7:7" x14ac:dyDescent="0.25">
      <c r="G2426" s="1"/>
    </row>
    <row r="2427" spans="7:7" x14ac:dyDescent="0.25">
      <c r="G2427" s="1"/>
    </row>
    <row r="2428" spans="7:7" x14ac:dyDescent="0.25">
      <c r="G2428" s="1"/>
    </row>
    <row r="2429" spans="7:7" x14ac:dyDescent="0.25">
      <c r="G2429" s="1"/>
    </row>
    <row r="2430" spans="7:7" x14ac:dyDescent="0.25">
      <c r="G2430" s="1"/>
    </row>
    <row r="2431" spans="7:7" x14ac:dyDescent="0.25">
      <c r="G2431" s="1"/>
    </row>
    <row r="2432" spans="7:7" x14ac:dyDescent="0.25">
      <c r="G2432" s="1"/>
    </row>
    <row r="2433" spans="7:7" x14ac:dyDescent="0.25">
      <c r="G2433" s="1"/>
    </row>
    <row r="2434" spans="7:7" x14ac:dyDescent="0.25">
      <c r="G2434" s="1"/>
    </row>
    <row r="2435" spans="7:7" x14ac:dyDescent="0.25">
      <c r="G2435" s="1"/>
    </row>
    <row r="2436" spans="7:7" x14ac:dyDescent="0.25">
      <c r="G2436" s="1"/>
    </row>
    <row r="2437" spans="7:7" x14ac:dyDescent="0.25">
      <c r="G2437" s="1"/>
    </row>
    <row r="2438" spans="7:7" x14ac:dyDescent="0.25">
      <c r="G2438" s="1"/>
    </row>
    <row r="2439" spans="7:7" x14ac:dyDescent="0.25">
      <c r="G2439" s="1"/>
    </row>
    <row r="2440" spans="7:7" x14ac:dyDescent="0.25">
      <c r="G2440" s="1"/>
    </row>
    <row r="2441" spans="7:7" x14ac:dyDescent="0.25">
      <c r="G2441" s="1"/>
    </row>
    <row r="2442" spans="7:7" x14ac:dyDescent="0.25">
      <c r="G2442" s="1"/>
    </row>
    <row r="2443" spans="7:7" x14ac:dyDescent="0.25">
      <c r="G2443" s="1"/>
    </row>
    <row r="2444" spans="7:7" x14ac:dyDescent="0.25">
      <c r="G2444" s="1"/>
    </row>
    <row r="2445" spans="7:7" x14ac:dyDescent="0.25">
      <c r="G2445" s="1"/>
    </row>
    <row r="2446" spans="7:7" x14ac:dyDescent="0.25">
      <c r="G2446" s="1"/>
    </row>
    <row r="2447" spans="7:7" x14ac:dyDescent="0.25">
      <c r="G2447" s="1"/>
    </row>
    <row r="2448" spans="7:7" x14ac:dyDescent="0.25">
      <c r="G2448" s="1"/>
    </row>
    <row r="2449" spans="7:7" x14ac:dyDescent="0.25">
      <c r="G2449" s="1"/>
    </row>
    <row r="2450" spans="7:7" x14ac:dyDescent="0.25">
      <c r="G2450" s="1"/>
    </row>
    <row r="2451" spans="7:7" x14ac:dyDescent="0.25">
      <c r="G2451" s="1"/>
    </row>
    <row r="2452" spans="7:7" x14ac:dyDescent="0.25">
      <c r="G2452" s="1"/>
    </row>
    <row r="2453" spans="7:7" x14ac:dyDescent="0.25">
      <c r="G2453" s="1"/>
    </row>
    <row r="2454" spans="7:7" x14ac:dyDescent="0.25">
      <c r="G2454" s="1"/>
    </row>
    <row r="2455" spans="7:7" x14ac:dyDescent="0.25">
      <c r="G2455" s="1"/>
    </row>
    <row r="2456" spans="7:7" x14ac:dyDescent="0.25">
      <c r="G2456" s="1"/>
    </row>
    <row r="2457" spans="7:7" x14ac:dyDescent="0.25">
      <c r="G2457" s="1"/>
    </row>
    <row r="2458" spans="7:7" x14ac:dyDescent="0.25">
      <c r="G2458" s="1"/>
    </row>
    <row r="2459" spans="7:7" x14ac:dyDescent="0.25">
      <c r="G2459" s="1"/>
    </row>
    <row r="2460" spans="7:7" x14ac:dyDescent="0.25">
      <c r="G2460" s="1"/>
    </row>
    <row r="2461" spans="7:7" x14ac:dyDescent="0.25">
      <c r="G2461" s="1"/>
    </row>
    <row r="2462" spans="7:7" x14ac:dyDescent="0.25">
      <c r="G2462" s="1"/>
    </row>
    <row r="2463" spans="7:7" x14ac:dyDescent="0.25">
      <c r="G2463" s="1"/>
    </row>
    <row r="2464" spans="7:7" x14ac:dyDescent="0.25">
      <c r="G2464" s="1"/>
    </row>
    <row r="2465" spans="7:7" x14ac:dyDescent="0.25">
      <c r="G2465" s="1"/>
    </row>
    <row r="2466" spans="7:7" x14ac:dyDescent="0.25">
      <c r="G2466" s="1"/>
    </row>
    <row r="2467" spans="7:7" x14ac:dyDescent="0.25">
      <c r="G2467" s="1"/>
    </row>
    <row r="2468" spans="7:7" x14ac:dyDescent="0.25">
      <c r="G2468" s="1"/>
    </row>
    <row r="2469" spans="7:7" x14ac:dyDescent="0.25">
      <c r="G2469" s="1"/>
    </row>
    <row r="2470" spans="7:7" x14ac:dyDescent="0.25">
      <c r="G2470" s="1"/>
    </row>
    <row r="2471" spans="7:7" x14ac:dyDescent="0.25">
      <c r="G2471" s="1"/>
    </row>
    <row r="2472" spans="7:7" x14ac:dyDescent="0.25">
      <c r="G2472" s="1"/>
    </row>
    <row r="2473" spans="7:7" x14ac:dyDescent="0.25">
      <c r="G2473" s="1"/>
    </row>
    <row r="2474" spans="7:7" x14ac:dyDescent="0.25">
      <c r="G2474" s="1"/>
    </row>
    <row r="2475" spans="7:7" x14ac:dyDescent="0.25">
      <c r="G2475" s="1"/>
    </row>
    <row r="2476" spans="7:7" x14ac:dyDescent="0.25">
      <c r="G2476" s="1"/>
    </row>
    <row r="2477" spans="7:7" x14ac:dyDescent="0.25">
      <c r="G2477" s="1"/>
    </row>
    <row r="2478" spans="7:7" x14ac:dyDescent="0.25">
      <c r="G2478" s="1"/>
    </row>
    <row r="2479" spans="7:7" x14ac:dyDescent="0.25">
      <c r="G2479" s="1"/>
    </row>
    <row r="2480" spans="7:7" x14ac:dyDescent="0.25">
      <c r="G2480" s="1"/>
    </row>
    <row r="2481" spans="7:7" x14ac:dyDescent="0.25">
      <c r="G2481" s="1"/>
    </row>
    <row r="2482" spans="7:7" x14ac:dyDescent="0.25">
      <c r="G2482" s="1"/>
    </row>
    <row r="2483" spans="7:7" x14ac:dyDescent="0.25">
      <c r="G2483" s="1"/>
    </row>
    <row r="2484" spans="7:7" x14ac:dyDescent="0.25">
      <c r="G2484" s="1"/>
    </row>
    <row r="2485" spans="7:7" x14ac:dyDescent="0.25">
      <c r="G2485" s="1"/>
    </row>
    <row r="2486" spans="7:7" x14ac:dyDescent="0.25">
      <c r="G2486" s="1"/>
    </row>
    <row r="2487" spans="7:7" x14ac:dyDescent="0.25">
      <c r="G2487" s="1"/>
    </row>
    <row r="2488" spans="7:7" x14ac:dyDescent="0.25">
      <c r="G2488" s="1"/>
    </row>
    <row r="2489" spans="7:7" x14ac:dyDescent="0.25">
      <c r="G2489" s="1"/>
    </row>
    <row r="2490" spans="7:7" x14ac:dyDescent="0.25">
      <c r="G2490" s="1"/>
    </row>
    <row r="2491" spans="7:7" x14ac:dyDescent="0.25">
      <c r="G2491" s="1"/>
    </row>
    <row r="2492" spans="7:7" x14ac:dyDescent="0.25">
      <c r="G2492" s="1"/>
    </row>
    <row r="2493" spans="7:7" x14ac:dyDescent="0.25">
      <c r="G2493" s="1"/>
    </row>
    <row r="2494" spans="7:7" x14ac:dyDescent="0.25">
      <c r="G2494" s="1"/>
    </row>
    <row r="2495" spans="7:7" x14ac:dyDescent="0.25">
      <c r="G2495" s="1"/>
    </row>
    <row r="2496" spans="7:7" x14ac:dyDescent="0.25">
      <c r="G2496" s="1"/>
    </row>
    <row r="2497" spans="7:7" x14ac:dyDescent="0.25">
      <c r="G2497" s="1"/>
    </row>
    <row r="2498" spans="7:7" x14ac:dyDescent="0.25">
      <c r="G2498" s="1"/>
    </row>
    <row r="2499" spans="7:7" x14ac:dyDescent="0.25">
      <c r="G2499" s="1"/>
    </row>
    <row r="2500" spans="7:7" x14ac:dyDescent="0.25">
      <c r="G2500" s="1"/>
    </row>
    <row r="2501" spans="7:7" x14ac:dyDescent="0.25">
      <c r="G2501" s="1"/>
    </row>
    <row r="2502" spans="7:7" x14ac:dyDescent="0.25">
      <c r="G2502" s="1"/>
    </row>
    <row r="2503" spans="7:7" x14ac:dyDescent="0.25">
      <c r="G2503" s="1"/>
    </row>
    <row r="2504" spans="7:7" x14ac:dyDescent="0.25">
      <c r="G2504" s="1"/>
    </row>
    <row r="2505" spans="7:7" x14ac:dyDescent="0.25">
      <c r="G2505" s="1"/>
    </row>
    <row r="2506" spans="7:7" x14ac:dyDescent="0.25">
      <c r="G2506" s="1"/>
    </row>
    <row r="2507" spans="7:7" x14ac:dyDescent="0.25">
      <c r="G2507" s="1"/>
    </row>
    <row r="2508" spans="7:7" x14ac:dyDescent="0.25">
      <c r="G2508" s="1"/>
    </row>
    <row r="2509" spans="7:7" x14ac:dyDescent="0.25">
      <c r="G2509" s="1"/>
    </row>
    <row r="2510" spans="7:7" x14ac:dyDescent="0.25">
      <c r="G2510" s="1"/>
    </row>
    <row r="2511" spans="7:7" x14ac:dyDescent="0.25">
      <c r="G2511" s="1"/>
    </row>
    <row r="2512" spans="7:7" x14ac:dyDescent="0.25">
      <c r="G2512" s="1"/>
    </row>
    <row r="2513" spans="7:7" x14ac:dyDescent="0.25">
      <c r="G2513" s="1"/>
    </row>
    <row r="2514" spans="7:7" x14ac:dyDescent="0.25">
      <c r="G2514" s="1"/>
    </row>
    <row r="2515" spans="7:7" x14ac:dyDescent="0.25">
      <c r="G2515" s="1"/>
    </row>
    <row r="2516" spans="7:7" x14ac:dyDescent="0.25">
      <c r="G2516" s="1"/>
    </row>
    <row r="2517" spans="7:7" x14ac:dyDescent="0.25">
      <c r="G2517" s="1"/>
    </row>
    <row r="2518" spans="7:7" x14ac:dyDescent="0.25">
      <c r="G2518" s="1"/>
    </row>
    <row r="2519" spans="7:7" x14ac:dyDescent="0.25">
      <c r="G2519" s="1"/>
    </row>
    <row r="2520" spans="7:7" x14ac:dyDescent="0.25">
      <c r="G2520" s="1"/>
    </row>
    <row r="2521" spans="7:7" x14ac:dyDescent="0.25">
      <c r="G2521" s="1"/>
    </row>
    <row r="2522" spans="7:7" x14ac:dyDescent="0.25">
      <c r="G2522" s="1"/>
    </row>
    <row r="2523" spans="7:7" x14ac:dyDescent="0.25">
      <c r="G2523" s="1"/>
    </row>
    <row r="2524" spans="7:7" x14ac:dyDescent="0.25">
      <c r="G2524" s="1"/>
    </row>
    <row r="2525" spans="7:7" x14ac:dyDescent="0.25">
      <c r="G2525" s="1"/>
    </row>
    <row r="2526" spans="7:7" x14ac:dyDescent="0.25">
      <c r="G2526" s="1"/>
    </row>
    <row r="2527" spans="7:7" x14ac:dyDescent="0.25">
      <c r="G2527" s="1"/>
    </row>
    <row r="2528" spans="7:7" x14ac:dyDescent="0.25">
      <c r="G2528" s="1"/>
    </row>
    <row r="2529" spans="7:7" x14ac:dyDescent="0.25">
      <c r="G2529" s="1"/>
    </row>
    <row r="2530" spans="7:7" x14ac:dyDescent="0.25">
      <c r="G2530" s="1"/>
    </row>
    <row r="2531" spans="7:7" x14ac:dyDescent="0.25">
      <c r="G2531" s="1"/>
    </row>
    <row r="2532" spans="7:7" x14ac:dyDescent="0.25">
      <c r="G2532" s="1"/>
    </row>
    <row r="2533" spans="7:7" x14ac:dyDescent="0.25">
      <c r="G2533" s="1"/>
    </row>
    <row r="2534" spans="7:7" x14ac:dyDescent="0.25">
      <c r="G2534" s="1"/>
    </row>
    <row r="2535" spans="7:7" x14ac:dyDescent="0.25">
      <c r="G2535" s="1"/>
    </row>
    <row r="2536" spans="7:7" x14ac:dyDescent="0.25">
      <c r="G2536" s="1"/>
    </row>
    <row r="2537" spans="7:7" x14ac:dyDescent="0.25">
      <c r="G2537" s="1"/>
    </row>
    <row r="2538" spans="7:7" x14ac:dyDescent="0.25">
      <c r="G2538" s="1"/>
    </row>
    <row r="2539" spans="7:7" x14ac:dyDescent="0.25">
      <c r="G2539" s="1"/>
    </row>
    <row r="2540" spans="7:7" x14ac:dyDescent="0.25">
      <c r="G2540" s="1"/>
    </row>
    <row r="2541" spans="7:7" x14ac:dyDescent="0.25">
      <c r="G2541" s="1"/>
    </row>
    <row r="2542" spans="7:7" x14ac:dyDescent="0.25">
      <c r="G2542" s="1"/>
    </row>
    <row r="2543" spans="7:7" x14ac:dyDescent="0.25">
      <c r="G2543" s="1"/>
    </row>
    <row r="2544" spans="7:7" x14ac:dyDescent="0.25">
      <c r="G2544" s="1"/>
    </row>
    <row r="2545" spans="7:7" x14ac:dyDescent="0.25">
      <c r="G2545" s="1"/>
    </row>
    <row r="2546" spans="7:7" x14ac:dyDescent="0.25">
      <c r="G2546" s="1"/>
    </row>
    <row r="2547" spans="7:7" x14ac:dyDescent="0.25">
      <c r="G2547" s="1"/>
    </row>
    <row r="2548" spans="7:7" x14ac:dyDescent="0.25">
      <c r="G2548" s="1"/>
    </row>
    <row r="2549" spans="7:7" x14ac:dyDescent="0.25">
      <c r="G2549" s="1"/>
    </row>
    <row r="2550" spans="7:7" x14ac:dyDescent="0.25">
      <c r="G2550" s="1"/>
    </row>
    <row r="2551" spans="7:7" x14ac:dyDescent="0.25">
      <c r="G2551" s="1"/>
    </row>
    <row r="2552" spans="7:7" x14ac:dyDescent="0.25">
      <c r="G2552" s="1"/>
    </row>
    <row r="2553" spans="7:7" x14ac:dyDescent="0.25">
      <c r="G2553" s="1"/>
    </row>
    <row r="2554" spans="7:7" x14ac:dyDescent="0.25">
      <c r="G2554" s="1"/>
    </row>
    <row r="2555" spans="7:7" x14ac:dyDescent="0.25">
      <c r="G2555" s="1"/>
    </row>
    <row r="2556" spans="7:7" x14ac:dyDescent="0.25">
      <c r="G2556" s="1"/>
    </row>
    <row r="2557" spans="7:7" x14ac:dyDescent="0.25">
      <c r="G2557" s="1"/>
    </row>
    <row r="2558" spans="7:7" x14ac:dyDescent="0.25">
      <c r="G2558" s="1"/>
    </row>
    <row r="2559" spans="7:7" x14ac:dyDescent="0.25">
      <c r="G2559" s="1"/>
    </row>
    <row r="2560" spans="7:7" x14ac:dyDescent="0.25">
      <c r="G2560" s="1"/>
    </row>
    <row r="2561" spans="7:7" x14ac:dyDescent="0.25">
      <c r="G2561" s="1"/>
    </row>
    <row r="2562" spans="7:7" x14ac:dyDescent="0.25">
      <c r="G2562" s="1"/>
    </row>
    <row r="2563" spans="7:7" x14ac:dyDescent="0.25">
      <c r="G2563" s="1"/>
    </row>
    <row r="2564" spans="7:7" x14ac:dyDescent="0.25">
      <c r="G2564" s="1"/>
    </row>
    <row r="2565" spans="7:7" x14ac:dyDescent="0.25">
      <c r="G2565" s="1"/>
    </row>
    <row r="2566" spans="7:7" x14ac:dyDescent="0.25">
      <c r="G2566" s="1"/>
    </row>
    <row r="2567" spans="7:7" x14ac:dyDescent="0.25">
      <c r="G2567" s="1"/>
    </row>
    <row r="2568" spans="7:7" x14ac:dyDescent="0.25">
      <c r="G2568" s="1"/>
    </row>
    <row r="2569" spans="7:7" x14ac:dyDescent="0.25">
      <c r="G2569" s="1"/>
    </row>
    <row r="2570" spans="7:7" x14ac:dyDescent="0.25">
      <c r="G2570" s="1"/>
    </row>
    <row r="2571" spans="7:7" x14ac:dyDescent="0.25">
      <c r="G2571" s="1"/>
    </row>
    <row r="2572" spans="7:7" x14ac:dyDescent="0.25">
      <c r="G2572" s="1"/>
    </row>
    <row r="2573" spans="7:7" x14ac:dyDescent="0.25">
      <c r="G2573" s="1"/>
    </row>
    <row r="2574" spans="7:7" x14ac:dyDescent="0.25">
      <c r="G2574" s="1"/>
    </row>
    <row r="2575" spans="7:7" x14ac:dyDescent="0.25">
      <c r="G2575" s="1"/>
    </row>
    <row r="2576" spans="7:7" x14ac:dyDescent="0.25">
      <c r="G2576" s="1"/>
    </row>
    <row r="2577" spans="7:7" x14ac:dyDescent="0.25">
      <c r="G2577" s="1"/>
    </row>
    <row r="2578" spans="7:7" x14ac:dyDescent="0.25">
      <c r="G2578" s="1"/>
    </row>
    <row r="2579" spans="7:7" x14ac:dyDescent="0.25">
      <c r="G2579" s="1"/>
    </row>
    <row r="2580" spans="7:7" x14ac:dyDescent="0.25">
      <c r="G2580" s="1"/>
    </row>
    <row r="2581" spans="7:7" x14ac:dyDescent="0.25">
      <c r="G2581" s="1"/>
    </row>
    <row r="2582" spans="7:7" x14ac:dyDescent="0.25">
      <c r="G2582" s="1"/>
    </row>
    <row r="2583" spans="7:7" x14ac:dyDescent="0.25">
      <c r="G2583" s="1"/>
    </row>
    <row r="2584" spans="7:7" x14ac:dyDescent="0.25">
      <c r="G2584" s="1"/>
    </row>
    <row r="2585" spans="7:7" x14ac:dyDescent="0.25">
      <c r="G2585" s="1"/>
    </row>
    <row r="2586" spans="7:7" x14ac:dyDescent="0.25">
      <c r="G2586" s="1"/>
    </row>
    <row r="2587" spans="7:7" x14ac:dyDescent="0.25">
      <c r="G2587" s="1"/>
    </row>
    <row r="2588" spans="7:7" x14ac:dyDescent="0.25">
      <c r="G2588" s="1"/>
    </row>
    <row r="2589" spans="7:7" x14ac:dyDescent="0.25">
      <c r="G2589" s="1"/>
    </row>
    <row r="2590" spans="7:7" x14ac:dyDescent="0.25">
      <c r="G2590" s="1"/>
    </row>
    <row r="2591" spans="7:7" x14ac:dyDescent="0.25">
      <c r="G2591" s="1"/>
    </row>
    <row r="2592" spans="7:7" x14ac:dyDescent="0.25">
      <c r="G2592" s="1"/>
    </row>
    <row r="2593" spans="7:7" x14ac:dyDescent="0.25">
      <c r="G2593" s="1"/>
    </row>
    <row r="2594" spans="7:7" x14ac:dyDescent="0.25">
      <c r="G2594" s="1"/>
    </row>
    <row r="2595" spans="7:7" x14ac:dyDescent="0.25">
      <c r="G2595" s="1"/>
    </row>
    <row r="2596" spans="7:7" x14ac:dyDescent="0.25">
      <c r="G2596" s="1"/>
    </row>
    <row r="2597" spans="7:7" x14ac:dyDescent="0.25">
      <c r="G2597" s="1"/>
    </row>
    <row r="2598" spans="7:7" x14ac:dyDescent="0.25">
      <c r="G2598" s="1"/>
    </row>
    <row r="2599" spans="7:7" x14ac:dyDescent="0.25">
      <c r="G2599" s="1"/>
    </row>
    <row r="2600" spans="7:7" x14ac:dyDescent="0.25">
      <c r="G2600" s="1"/>
    </row>
    <row r="2601" spans="7:7" x14ac:dyDescent="0.25">
      <c r="G2601" s="1"/>
    </row>
    <row r="2602" spans="7:7" x14ac:dyDescent="0.25">
      <c r="G2602" s="1"/>
    </row>
    <row r="2603" spans="7:7" x14ac:dyDescent="0.25">
      <c r="G2603" s="1"/>
    </row>
    <row r="2604" spans="7:7" x14ac:dyDescent="0.25">
      <c r="G2604" s="1"/>
    </row>
    <row r="2605" spans="7:7" x14ac:dyDescent="0.25">
      <c r="G2605" s="1"/>
    </row>
    <row r="2606" spans="7:7" x14ac:dyDescent="0.25">
      <c r="G2606" s="1"/>
    </row>
    <row r="2607" spans="7:7" x14ac:dyDescent="0.25">
      <c r="G2607" s="1"/>
    </row>
    <row r="2608" spans="7:7" x14ac:dyDescent="0.25">
      <c r="G2608" s="1"/>
    </row>
    <row r="2609" spans="7:7" x14ac:dyDescent="0.25">
      <c r="G2609" s="1"/>
    </row>
    <row r="2610" spans="7:7" x14ac:dyDescent="0.25">
      <c r="G2610" s="1"/>
    </row>
    <row r="2611" spans="7:7" x14ac:dyDescent="0.25">
      <c r="G2611" s="1"/>
    </row>
    <row r="2612" spans="7:7" x14ac:dyDescent="0.25">
      <c r="G2612" s="1"/>
    </row>
    <row r="2613" spans="7:7" x14ac:dyDescent="0.25">
      <c r="G2613" s="1"/>
    </row>
    <row r="2614" spans="7:7" x14ac:dyDescent="0.25">
      <c r="G2614" s="1"/>
    </row>
    <row r="2615" spans="7:7" x14ac:dyDescent="0.25">
      <c r="G2615" s="1"/>
    </row>
    <row r="2616" spans="7:7" x14ac:dyDescent="0.25">
      <c r="G2616" s="1"/>
    </row>
    <row r="2617" spans="7:7" x14ac:dyDescent="0.25">
      <c r="G2617" s="1"/>
    </row>
    <row r="2618" spans="7:7" x14ac:dyDescent="0.25">
      <c r="G2618" s="1"/>
    </row>
    <row r="2619" spans="7:7" x14ac:dyDescent="0.25">
      <c r="G2619" s="1"/>
    </row>
    <row r="2620" spans="7:7" x14ac:dyDescent="0.25">
      <c r="G2620" s="1"/>
    </row>
    <row r="2621" spans="7:7" x14ac:dyDescent="0.25">
      <c r="G2621" s="1"/>
    </row>
    <row r="2622" spans="7:7" x14ac:dyDescent="0.25">
      <c r="G2622" s="1"/>
    </row>
    <row r="2623" spans="7:7" x14ac:dyDescent="0.25">
      <c r="G2623" s="1"/>
    </row>
    <row r="2624" spans="7:7" x14ac:dyDescent="0.25">
      <c r="G2624" s="1"/>
    </row>
  </sheetData>
  <mergeCells count="2">
    <mergeCell ref="A1:L1"/>
    <mergeCell ref="A2:L2"/>
  </mergeCells>
  <conditionalFormatting sqref="E4">
    <cfRule type="duplicateValues" dxfId="2" priority="1"/>
  </conditionalFormatting>
  <conditionalFormatting sqref="E5:E1308">
    <cfRule type="duplicateValues" dxfId="1" priority="4"/>
  </conditionalFormatting>
  <conditionalFormatting sqref="F3 F1309:F65536">
    <cfRule type="expression" dxfId="0" priority="2" stopIfTrue="1">
      <formula>AND(COUNTIF($F$1285:$F$65536, F3)+COUNTIF($F$3:$F$3, F3)&gt;1,NOT(ISBLANK(F3)))</formula>
    </cfRule>
  </conditionalFormatting>
  <pageMargins left="0.70866141732283472" right="0.70866141732283472" top="0.74803149606299213" bottom="0.74803149606299213" header="0.31496062992125984" footer="0.31496062992125984"/>
  <pageSetup scale="36" fitToHeight="14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Arcelia Mendoza Lopez</dc:creator>
  <cp:lastModifiedBy>Elsa Arcelia Mendoza Lopez</cp:lastModifiedBy>
  <cp:lastPrinted>2024-10-04T20:07:18Z</cp:lastPrinted>
  <dcterms:created xsi:type="dcterms:W3CDTF">2024-10-04T20:06:06Z</dcterms:created>
  <dcterms:modified xsi:type="dcterms:W3CDTF">2024-10-28T18:31:30Z</dcterms:modified>
</cp:coreProperties>
</file>