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.mendoza\Desktop\Elsa\2024\ENAJENACIONES\Licitación 002-JAL-24\Anexos\"/>
    </mc:Choice>
  </mc:AlternateContent>
  <xr:revisionPtr revIDLastSave="0" documentId="13_ncr:1_{ED07356A-DFDB-4BFE-B116-438DF36A9CB0}" xr6:coauthVersionLast="47" xr6:coauthVersionMax="47" xr10:uidLastSave="{00000000-0000-0000-0000-000000000000}"/>
  <bookViews>
    <workbookView xWindow="-120" yWindow="-120" windowWidth="29040" windowHeight="15840" xr2:uid="{4C9F8E0D-F96F-41C0-A68E-85D13821BFAD}"/>
  </bookViews>
  <sheets>
    <sheet name="Hoja1" sheetId="1" r:id="rId1"/>
  </sheets>
  <definedNames>
    <definedName name="_xlnm._FilterDatabase" localSheetId="0" hidden="1">Hoja1!$A$4:$M$793</definedName>
    <definedName name="_xlnm.Print_Area" localSheetId="0">Hoja1!$A$1:$K$793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3" i="1" l="1"/>
  <c r="F792" i="1"/>
  <c r="E792" i="1"/>
  <c r="D792" i="1"/>
  <c r="C792" i="1"/>
  <c r="F791" i="1"/>
  <c r="E791" i="1"/>
  <c r="D791" i="1"/>
  <c r="C791" i="1"/>
  <c r="F790" i="1"/>
  <c r="E790" i="1"/>
  <c r="D790" i="1"/>
  <c r="C790" i="1"/>
  <c r="F789" i="1"/>
  <c r="E789" i="1"/>
  <c r="D789" i="1"/>
  <c r="C789" i="1"/>
  <c r="F788" i="1"/>
  <c r="E788" i="1"/>
  <c r="D788" i="1"/>
  <c r="C788" i="1"/>
  <c r="F787" i="1"/>
  <c r="E787" i="1"/>
  <c r="D787" i="1"/>
  <c r="C787" i="1"/>
  <c r="F786" i="1"/>
  <c r="E786" i="1"/>
  <c r="D786" i="1"/>
  <c r="C786" i="1"/>
  <c r="F785" i="1"/>
  <c r="E785" i="1"/>
  <c r="D785" i="1"/>
  <c r="C785" i="1"/>
  <c r="F784" i="1"/>
  <c r="E784" i="1"/>
  <c r="D784" i="1"/>
  <c r="C784" i="1"/>
  <c r="F783" i="1"/>
  <c r="E783" i="1"/>
  <c r="D783" i="1"/>
  <c r="C783" i="1"/>
  <c r="F782" i="1"/>
  <c r="E782" i="1"/>
  <c r="D782" i="1"/>
  <c r="C782" i="1"/>
  <c r="F781" i="1"/>
  <c r="E781" i="1"/>
  <c r="D781" i="1"/>
  <c r="C781" i="1"/>
  <c r="F780" i="1"/>
  <c r="E780" i="1"/>
  <c r="D780" i="1"/>
  <c r="C780" i="1"/>
  <c r="F779" i="1"/>
  <c r="E779" i="1"/>
  <c r="D779" i="1"/>
  <c r="C779" i="1"/>
  <c r="F778" i="1"/>
  <c r="E778" i="1"/>
  <c r="D778" i="1"/>
  <c r="C778" i="1"/>
  <c r="F777" i="1"/>
  <c r="E777" i="1"/>
  <c r="D777" i="1"/>
  <c r="C777" i="1"/>
  <c r="F776" i="1"/>
  <c r="E776" i="1"/>
  <c r="D776" i="1"/>
  <c r="C776" i="1"/>
  <c r="F775" i="1"/>
  <c r="E775" i="1"/>
  <c r="D775" i="1"/>
  <c r="C775" i="1"/>
  <c r="F774" i="1"/>
  <c r="E774" i="1"/>
  <c r="D774" i="1"/>
  <c r="C774" i="1"/>
  <c r="F773" i="1"/>
  <c r="E773" i="1"/>
  <c r="D773" i="1"/>
  <c r="C773" i="1"/>
  <c r="F772" i="1"/>
  <c r="E772" i="1"/>
  <c r="D772" i="1"/>
  <c r="C772" i="1"/>
  <c r="F771" i="1"/>
  <c r="E771" i="1"/>
  <c r="D771" i="1"/>
  <c r="C771" i="1"/>
  <c r="F770" i="1"/>
  <c r="E770" i="1"/>
  <c r="D770" i="1"/>
  <c r="C770" i="1"/>
  <c r="F769" i="1"/>
  <c r="E769" i="1"/>
  <c r="D769" i="1"/>
  <c r="C769" i="1"/>
  <c r="F768" i="1"/>
  <c r="E768" i="1"/>
  <c r="D768" i="1"/>
  <c r="C768" i="1"/>
  <c r="F767" i="1"/>
  <c r="E767" i="1"/>
  <c r="D767" i="1"/>
  <c r="C767" i="1"/>
  <c r="F766" i="1"/>
  <c r="E766" i="1"/>
  <c r="D766" i="1"/>
  <c r="C766" i="1"/>
  <c r="F765" i="1"/>
  <c r="E765" i="1"/>
  <c r="D765" i="1"/>
  <c r="C765" i="1"/>
  <c r="F764" i="1"/>
  <c r="E764" i="1"/>
  <c r="D764" i="1"/>
  <c r="C764" i="1"/>
  <c r="F763" i="1"/>
  <c r="E763" i="1"/>
  <c r="D763" i="1"/>
  <c r="C763" i="1"/>
  <c r="F740" i="1"/>
  <c r="E740" i="1"/>
  <c r="D740" i="1"/>
  <c r="C740" i="1"/>
  <c r="F739" i="1"/>
  <c r="E739" i="1"/>
  <c r="D739" i="1"/>
  <c r="C739" i="1"/>
  <c r="F738" i="1"/>
  <c r="E738" i="1"/>
  <c r="D738" i="1"/>
  <c r="C738" i="1"/>
  <c r="F737" i="1"/>
  <c r="E737" i="1"/>
  <c r="D737" i="1"/>
  <c r="C737" i="1"/>
  <c r="F736" i="1"/>
  <c r="E736" i="1"/>
  <c r="D736" i="1"/>
  <c r="C736" i="1"/>
  <c r="F735" i="1"/>
  <c r="E735" i="1"/>
  <c r="D735" i="1"/>
  <c r="C735" i="1"/>
  <c r="F734" i="1"/>
  <c r="E734" i="1"/>
  <c r="D734" i="1"/>
  <c r="C734" i="1"/>
  <c r="F733" i="1"/>
  <c r="E733" i="1"/>
  <c r="D733" i="1"/>
  <c r="C733" i="1"/>
  <c r="F732" i="1"/>
  <c r="E732" i="1"/>
  <c r="D732" i="1"/>
  <c r="C732" i="1"/>
  <c r="F731" i="1"/>
  <c r="E731" i="1"/>
  <c r="D731" i="1"/>
  <c r="C731" i="1"/>
  <c r="F730" i="1"/>
  <c r="E730" i="1"/>
  <c r="D730" i="1"/>
  <c r="C730" i="1"/>
  <c r="F729" i="1"/>
  <c r="E729" i="1"/>
  <c r="D729" i="1"/>
  <c r="C729" i="1"/>
  <c r="F728" i="1"/>
  <c r="E728" i="1"/>
  <c r="D728" i="1"/>
  <c r="C728" i="1"/>
  <c r="F727" i="1"/>
  <c r="E727" i="1"/>
  <c r="D727" i="1"/>
  <c r="C727" i="1"/>
  <c r="F726" i="1"/>
  <c r="E726" i="1"/>
  <c r="D726" i="1"/>
  <c r="C726" i="1"/>
  <c r="F725" i="1"/>
  <c r="E725" i="1"/>
  <c r="D725" i="1"/>
  <c r="C725" i="1"/>
  <c r="F724" i="1"/>
  <c r="E724" i="1"/>
  <c r="D724" i="1"/>
  <c r="C724" i="1"/>
  <c r="F723" i="1"/>
  <c r="E723" i="1"/>
  <c r="D723" i="1"/>
  <c r="C723" i="1"/>
  <c r="F722" i="1"/>
  <c r="E722" i="1"/>
  <c r="D722" i="1"/>
  <c r="C722" i="1"/>
  <c r="F721" i="1"/>
  <c r="E721" i="1"/>
  <c r="D721" i="1"/>
  <c r="C721" i="1"/>
  <c r="F720" i="1"/>
  <c r="E720" i="1"/>
  <c r="D720" i="1"/>
  <c r="C720" i="1"/>
  <c r="F719" i="1"/>
  <c r="E719" i="1"/>
  <c r="D719" i="1"/>
  <c r="C719" i="1"/>
  <c r="F718" i="1"/>
  <c r="E718" i="1"/>
  <c r="D718" i="1"/>
  <c r="C718" i="1"/>
  <c r="F717" i="1"/>
  <c r="E717" i="1"/>
  <c r="D717" i="1"/>
  <c r="C717" i="1"/>
  <c r="F716" i="1"/>
  <c r="E716" i="1"/>
  <c r="D716" i="1"/>
  <c r="C716" i="1"/>
  <c r="F715" i="1"/>
  <c r="E715" i="1"/>
  <c r="D715" i="1"/>
  <c r="C715" i="1"/>
  <c r="F714" i="1"/>
  <c r="E714" i="1"/>
  <c r="D714" i="1"/>
  <c r="C714" i="1"/>
  <c r="F713" i="1"/>
  <c r="E713" i="1"/>
  <c r="D713" i="1"/>
  <c r="C713" i="1"/>
  <c r="F712" i="1"/>
  <c r="E712" i="1"/>
  <c r="D712" i="1"/>
  <c r="C712" i="1"/>
  <c r="F711" i="1"/>
  <c r="E711" i="1"/>
  <c r="D711" i="1"/>
  <c r="C711" i="1"/>
  <c r="F710" i="1"/>
  <c r="E710" i="1"/>
  <c r="D710" i="1"/>
  <c r="C710" i="1"/>
  <c r="F709" i="1"/>
  <c r="E709" i="1"/>
  <c r="D709" i="1"/>
  <c r="C709" i="1"/>
  <c r="F708" i="1"/>
  <c r="E708" i="1"/>
  <c r="D708" i="1"/>
  <c r="C708" i="1"/>
  <c r="F707" i="1"/>
  <c r="E707" i="1"/>
  <c r="D707" i="1"/>
  <c r="C707" i="1"/>
  <c r="F706" i="1"/>
  <c r="E706" i="1"/>
  <c r="D706" i="1"/>
  <c r="C706" i="1"/>
  <c r="F705" i="1"/>
  <c r="E705" i="1"/>
  <c r="D705" i="1"/>
  <c r="C705" i="1"/>
  <c r="F704" i="1"/>
  <c r="E704" i="1"/>
  <c r="D704" i="1"/>
  <c r="C704" i="1"/>
  <c r="F703" i="1"/>
  <c r="E703" i="1"/>
  <c r="D703" i="1"/>
  <c r="C703" i="1"/>
  <c r="F702" i="1"/>
  <c r="E702" i="1"/>
  <c r="D702" i="1"/>
  <c r="C702" i="1"/>
  <c r="F701" i="1"/>
  <c r="E701" i="1"/>
  <c r="D701" i="1"/>
  <c r="C701" i="1"/>
  <c r="F700" i="1"/>
  <c r="E700" i="1"/>
  <c r="D700" i="1"/>
  <c r="C700" i="1"/>
  <c r="F699" i="1"/>
  <c r="E699" i="1"/>
  <c r="D699" i="1"/>
  <c r="C699" i="1"/>
  <c r="F698" i="1"/>
  <c r="E698" i="1"/>
  <c r="D698" i="1"/>
  <c r="C698" i="1"/>
  <c r="F697" i="1"/>
  <c r="E697" i="1"/>
  <c r="D697" i="1"/>
  <c r="C697" i="1"/>
  <c r="F696" i="1"/>
  <c r="E696" i="1"/>
  <c r="D696" i="1"/>
  <c r="C696" i="1"/>
  <c r="F695" i="1"/>
  <c r="E695" i="1"/>
  <c r="D695" i="1"/>
  <c r="C695" i="1"/>
  <c r="F694" i="1"/>
  <c r="E694" i="1"/>
  <c r="D694" i="1"/>
  <c r="C694" i="1"/>
  <c r="F693" i="1"/>
  <c r="E693" i="1"/>
  <c r="D693" i="1"/>
  <c r="C693" i="1"/>
  <c r="F692" i="1"/>
  <c r="E692" i="1"/>
  <c r="D692" i="1"/>
  <c r="C692" i="1"/>
  <c r="F691" i="1"/>
  <c r="E691" i="1"/>
  <c r="D691" i="1"/>
  <c r="C691" i="1"/>
  <c r="F690" i="1"/>
  <c r="E690" i="1"/>
  <c r="D690" i="1"/>
  <c r="C690" i="1"/>
  <c r="F689" i="1"/>
  <c r="E689" i="1"/>
  <c r="D689" i="1"/>
  <c r="C689" i="1"/>
  <c r="F688" i="1"/>
  <c r="E688" i="1"/>
  <c r="D688" i="1"/>
  <c r="C688" i="1"/>
  <c r="F687" i="1"/>
  <c r="E687" i="1"/>
  <c r="D687" i="1"/>
  <c r="C687" i="1"/>
  <c r="F686" i="1"/>
  <c r="E686" i="1"/>
  <c r="D686" i="1"/>
  <c r="C686" i="1"/>
  <c r="F685" i="1"/>
  <c r="E685" i="1"/>
  <c r="D685" i="1"/>
  <c r="C685" i="1"/>
  <c r="F684" i="1"/>
  <c r="E684" i="1"/>
  <c r="D684" i="1"/>
  <c r="C684" i="1"/>
  <c r="F683" i="1"/>
  <c r="E683" i="1"/>
  <c r="D683" i="1"/>
  <c r="C683" i="1"/>
  <c r="F682" i="1"/>
  <c r="E682" i="1"/>
  <c r="D682" i="1"/>
  <c r="C682" i="1"/>
  <c r="F681" i="1"/>
  <c r="E681" i="1"/>
  <c r="D681" i="1"/>
  <c r="C681" i="1"/>
  <c r="F680" i="1"/>
  <c r="E680" i="1"/>
  <c r="D680" i="1"/>
  <c r="C680" i="1"/>
  <c r="F679" i="1"/>
  <c r="E679" i="1"/>
  <c r="D679" i="1"/>
  <c r="C679" i="1"/>
  <c r="F678" i="1"/>
  <c r="E678" i="1"/>
  <c r="D678" i="1"/>
  <c r="C678" i="1"/>
  <c r="F677" i="1"/>
  <c r="E677" i="1"/>
  <c r="D677" i="1"/>
  <c r="C677" i="1"/>
  <c r="F676" i="1"/>
  <c r="E676" i="1"/>
  <c r="D676" i="1"/>
  <c r="C676" i="1"/>
  <c r="F675" i="1"/>
  <c r="E675" i="1"/>
  <c r="D675" i="1"/>
  <c r="C675" i="1"/>
  <c r="F674" i="1"/>
  <c r="E674" i="1"/>
  <c r="D674" i="1"/>
  <c r="C674" i="1"/>
  <c r="F673" i="1"/>
  <c r="E673" i="1"/>
  <c r="D673" i="1"/>
  <c r="C673" i="1"/>
  <c r="F672" i="1"/>
  <c r="E672" i="1"/>
  <c r="D672" i="1"/>
  <c r="C672" i="1"/>
  <c r="F671" i="1"/>
  <c r="E671" i="1"/>
  <c r="D671" i="1"/>
  <c r="C671" i="1"/>
  <c r="F670" i="1"/>
  <c r="E670" i="1"/>
  <c r="D670" i="1"/>
  <c r="C670" i="1"/>
  <c r="F669" i="1"/>
  <c r="E669" i="1"/>
  <c r="D669" i="1"/>
  <c r="C669" i="1"/>
  <c r="F668" i="1"/>
  <c r="E668" i="1"/>
  <c r="D668" i="1"/>
  <c r="C668" i="1"/>
  <c r="F667" i="1"/>
  <c r="E667" i="1"/>
  <c r="D667" i="1"/>
  <c r="C667" i="1"/>
  <c r="F666" i="1"/>
  <c r="E666" i="1"/>
  <c r="D666" i="1"/>
  <c r="C666" i="1"/>
  <c r="F665" i="1"/>
  <c r="E665" i="1"/>
  <c r="D665" i="1"/>
  <c r="C665" i="1"/>
  <c r="F664" i="1"/>
  <c r="E664" i="1"/>
  <c r="D664" i="1"/>
  <c r="C664" i="1"/>
  <c r="F663" i="1"/>
  <c r="E663" i="1"/>
  <c r="D663" i="1"/>
  <c r="C663" i="1"/>
  <c r="F662" i="1"/>
  <c r="E662" i="1"/>
  <c r="D662" i="1"/>
  <c r="C662" i="1"/>
  <c r="F661" i="1"/>
  <c r="E661" i="1"/>
  <c r="D661" i="1"/>
  <c r="C661" i="1"/>
  <c r="F660" i="1"/>
  <c r="E660" i="1"/>
  <c r="D660" i="1"/>
  <c r="C660" i="1"/>
  <c r="F659" i="1"/>
  <c r="E659" i="1"/>
  <c r="D659" i="1"/>
  <c r="C659" i="1"/>
  <c r="F658" i="1"/>
  <c r="E658" i="1"/>
  <c r="D658" i="1"/>
  <c r="C658" i="1"/>
  <c r="F657" i="1"/>
  <c r="E657" i="1"/>
  <c r="D657" i="1"/>
  <c r="C657" i="1"/>
  <c r="F656" i="1"/>
  <c r="E656" i="1"/>
  <c r="D656" i="1"/>
  <c r="C656" i="1"/>
  <c r="F655" i="1"/>
  <c r="E655" i="1"/>
  <c r="D655" i="1"/>
  <c r="C655" i="1"/>
  <c r="F654" i="1"/>
  <c r="E654" i="1"/>
  <c r="D654" i="1"/>
  <c r="C654" i="1"/>
  <c r="F653" i="1"/>
  <c r="E653" i="1"/>
  <c r="D653" i="1"/>
  <c r="C653" i="1"/>
  <c r="F430" i="1"/>
  <c r="E430" i="1"/>
  <c r="D430" i="1"/>
  <c r="C430" i="1"/>
  <c r="F429" i="1"/>
  <c r="E429" i="1"/>
  <c r="D429" i="1"/>
  <c r="C429" i="1"/>
  <c r="F428" i="1"/>
  <c r="E428" i="1"/>
  <c r="D428" i="1"/>
  <c r="C428" i="1"/>
  <c r="F427" i="1"/>
  <c r="E427" i="1"/>
  <c r="D427" i="1"/>
  <c r="C427" i="1"/>
  <c r="F426" i="1"/>
  <c r="E426" i="1"/>
  <c r="D426" i="1"/>
  <c r="C426" i="1"/>
  <c r="F425" i="1"/>
  <c r="E425" i="1"/>
  <c r="D425" i="1"/>
  <c r="C425" i="1"/>
  <c r="F424" i="1"/>
  <c r="E424" i="1"/>
  <c r="D424" i="1"/>
  <c r="C424" i="1"/>
  <c r="F423" i="1"/>
  <c r="E423" i="1"/>
  <c r="D423" i="1"/>
  <c r="C423" i="1"/>
  <c r="F422" i="1"/>
  <c r="E422" i="1"/>
  <c r="D422" i="1"/>
  <c r="C422" i="1"/>
  <c r="F421" i="1"/>
  <c r="E421" i="1"/>
  <c r="D421" i="1"/>
  <c r="C421" i="1"/>
  <c r="F420" i="1"/>
  <c r="E420" i="1"/>
  <c r="D420" i="1"/>
  <c r="C420" i="1"/>
  <c r="F419" i="1"/>
  <c r="E419" i="1"/>
  <c r="D419" i="1"/>
  <c r="C419" i="1"/>
  <c r="F418" i="1"/>
  <c r="E418" i="1"/>
  <c r="D418" i="1"/>
  <c r="C418" i="1"/>
  <c r="F417" i="1"/>
  <c r="E417" i="1"/>
  <c r="D417" i="1"/>
  <c r="C417" i="1"/>
  <c r="F416" i="1"/>
  <c r="E416" i="1"/>
  <c r="D416" i="1"/>
  <c r="C416" i="1"/>
  <c r="F415" i="1"/>
  <c r="E415" i="1"/>
  <c r="D415" i="1"/>
  <c r="C415" i="1"/>
  <c r="F414" i="1"/>
  <c r="E414" i="1"/>
  <c r="D414" i="1"/>
  <c r="C414" i="1"/>
  <c r="F413" i="1"/>
  <c r="E413" i="1"/>
  <c r="D413" i="1"/>
  <c r="C413" i="1"/>
  <c r="F412" i="1"/>
  <c r="E412" i="1"/>
  <c r="D412" i="1"/>
  <c r="C412" i="1"/>
  <c r="F411" i="1"/>
  <c r="E411" i="1"/>
  <c r="D411" i="1"/>
  <c r="C411" i="1"/>
  <c r="F410" i="1"/>
  <c r="E410" i="1"/>
  <c r="D410" i="1"/>
  <c r="C410" i="1"/>
  <c r="F409" i="1"/>
  <c r="E409" i="1"/>
  <c r="D409" i="1"/>
  <c r="C409" i="1"/>
  <c r="F408" i="1"/>
  <c r="E408" i="1"/>
  <c r="D408" i="1"/>
  <c r="C408" i="1"/>
  <c r="F407" i="1"/>
  <c r="E407" i="1"/>
  <c r="D407" i="1"/>
  <c r="C407" i="1"/>
  <c r="F406" i="1"/>
  <c r="E406" i="1"/>
  <c r="D406" i="1"/>
  <c r="C406" i="1"/>
  <c r="F405" i="1"/>
  <c r="E405" i="1"/>
  <c r="D405" i="1"/>
  <c r="C405" i="1"/>
  <c r="F404" i="1"/>
  <c r="E404" i="1"/>
  <c r="D404" i="1"/>
  <c r="C404" i="1"/>
  <c r="F403" i="1"/>
  <c r="E403" i="1"/>
  <c r="D403" i="1"/>
  <c r="C403" i="1"/>
  <c r="F402" i="1"/>
  <c r="E402" i="1"/>
  <c r="D402" i="1"/>
  <c r="C402" i="1"/>
  <c r="F401" i="1"/>
  <c r="E401" i="1"/>
  <c r="D401" i="1"/>
  <c r="C401" i="1"/>
  <c r="F400" i="1"/>
  <c r="E400" i="1"/>
  <c r="D400" i="1"/>
  <c r="C400" i="1"/>
  <c r="F399" i="1"/>
  <c r="E399" i="1"/>
  <c r="D399" i="1"/>
  <c r="C399" i="1"/>
  <c r="F398" i="1"/>
  <c r="E398" i="1"/>
  <c r="D398" i="1"/>
  <c r="C398" i="1"/>
  <c r="F397" i="1"/>
  <c r="E397" i="1"/>
  <c r="D397" i="1"/>
  <c r="C397" i="1"/>
  <c r="F396" i="1"/>
  <c r="E396" i="1"/>
  <c r="D396" i="1"/>
  <c r="C396" i="1"/>
  <c r="F395" i="1"/>
  <c r="E395" i="1"/>
  <c r="D395" i="1"/>
  <c r="C395" i="1"/>
  <c r="F394" i="1"/>
  <c r="E394" i="1"/>
  <c r="D394" i="1"/>
  <c r="C394" i="1"/>
  <c r="F393" i="1"/>
  <c r="E393" i="1"/>
  <c r="D393" i="1"/>
  <c r="C393" i="1"/>
  <c r="F392" i="1"/>
  <c r="E392" i="1"/>
  <c r="D392" i="1"/>
  <c r="C392" i="1"/>
  <c r="F391" i="1"/>
  <c r="E391" i="1"/>
  <c r="D391" i="1"/>
  <c r="C391" i="1"/>
  <c r="F390" i="1"/>
  <c r="E390" i="1"/>
  <c r="D390" i="1"/>
  <c r="C390" i="1"/>
  <c r="F389" i="1"/>
  <c r="E389" i="1"/>
  <c r="D389" i="1"/>
  <c r="C389" i="1"/>
  <c r="F388" i="1"/>
  <c r="E388" i="1"/>
  <c r="D388" i="1"/>
  <c r="C388" i="1"/>
  <c r="F387" i="1"/>
  <c r="E387" i="1"/>
  <c r="D387" i="1"/>
  <c r="C387" i="1"/>
  <c r="F386" i="1"/>
  <c r="E386" i="1"/>
  <c r="D386" i="1"/>
  <c r="C386" i="1"/>
  <c r="F385" i="1"/>
  <c r="E385" i="1"/>
  <c r="D385" i="1"/>
  <c r="C385" i="1"/>
  <c r="F384" i="1"/>
  <c r="E384" i="1"/>
  <c r="D384" i="1"/>
  <c r="C384" i="1"/>
  <c r="F383" i="1"/>
  <c r="E383" i="1"/>
  <c r="D383" i="1"/>
  <c r="C383" i="1"/>
  <c r="F382" i="1"/>
  <c r="E382" i="1"/>
  <c r="D382" i="1"/>
  <c r="C382" i="1"/>
  <c r="F381" i="1"/>
  <c r="E381" i="1"/>
  <c r="D381" i="1"/>
  <c r="C381" i="1"/>
  <c r="F380" i="1"/>
  <c r="E380" i="1"/>
  <c r="D380" i="1"/>
  <c r="C380" i="1"/>
  <c r="F379" i="1"/>
  <c r="E379" i="1"/>
  <c r="D379" i="1"/>
  <c r="C379" i="1"/>
  <c r="F378" i="1"/>
  <c r="E378" i="1"/>
  <c r="D378" i="1"/>
  <c r="C378" i="1"/>
  <c r="F377" i="1"/>
  <c r="E377" i="1"/>
  <c r="D377" i="1"/>
  <c r="C377" i="1"/>
  <c r="F376" i="1"/>
  <c r="E376" i="1"/>
  <c r="D376" i="1"/>
  <c r="C376" i="1"/>
  <c r="F375" i="1"/>
  <c r="E375" i="1"/>
  <c r="D375" i="1"/>
  <c r="C375" i="1"/>
  <c r="F374" i="1"/>
  <c r="E374" i="1"/>
  <c r="D374" i="1"/>
  <c r="C374" i="1"/>
  <c r="F373" i="1"/>
  <c r="E373" i="1"/>
  <c r="D373" i="1"/>
  <c r="C373" i="1"/>
  <c r="F372" i="1"/>
  <c r="E372" i="1"/>
  <c r="D372" i="1"/>
  <c r="C372" i="1"/>
  <c r="F371" i="1"/>
  <c r="E371" i="1"/>
  <c r="D371" i="1"/>
  <c r="C371" i="1"/>
  <c r="F370" i="1"/>
  <c r="E370" i="1"/>
  <c r="D370" i="1"/>
  <c r="C370" i="1"/>
  <c r="F369" i="1"/>
  <c r="E369" i="1"/>
  <c r="D369" i="1"/>
  <c r="C369" i="1"/>
  <c r="F368" i="1"/>
  <c r="E368" i="1"/>
  <c r="D368" i="1"/>
  <c r="C368" i="1"/>
  <c r="F367" i="1"/>
  <c r="E367" i="1"/>
  <c r="D367" i="1"/>
  <c r="C367" i="1"/>
  <c r="F366" i="1"/>
  <c r="E366" i="1"/>
  <c r="D366" i="1"/>
  <c r="C366" i="1"/>
  <c r="F365" i="1"/>
  <c r="E365" i="1"/>
  <c r="D365" i="1"/>
  <c r="C365" i="1"/>
  <c r="F364" i="1"/>
  <c r="E364" i="1"/>
  <c r="D364" i="1"/>
  <c r="C364" i="1"/>
  <c r="F363" i="1"/>
  <c r="E363" i="1"/>
  <c r="D363" i="1"/>
  <c r="C363" i="1"/>
  <c r="F362" i="1"/>
  <c r="E362" i="1"/>
  <c r="D362" i="1"/>
  <c r="C362" i="1"/>
  <c r="F361" i="1"/>
  <c r="E361" i="1"/>
  <c r="D361" i="1"/>
  <c r="C361" i="1"/>
  <c r="F360" i="1"/>
  <c r="E360" i="1"/>
  <c r="D360" i="1"/>
  <c r="C360" i="1"/>
  <c r="F359" i="1"/>
  <c r="E359" i="1"/>
  <c r="D359" i="1"/>
  <c r="C359" i="1"/>
  <c r="F358" i="1"/>
  <c r="E358" i="1"/>
  <c r="D358" i="1"/>
  <c r="C358" i="1"/>
  <c r="F357" i="1"/>
  <c r="E357" i="1"/>
  <c r="D357" i="1"/>
  <c r="C357" i="1"/>
  <c r="F356" i="1"/>
  <c r="E356" i="1"/>
  <c r="D356" i="1"/>
  <c r="C356" i="1"/>
  <c r="F355" i="1"/>
  <c r="E355" i="1"/>
  <c r="D355" i="1"/>
  <c r="C355" i="1"/>
  <c r="F354" i="1"/>
  <c r="E354" i="1"/>
  <c r="D354" i="1"/>
  <c r="C354" i="1"/>
  <c r="F353" i="1"/>
  <c r="E353" i="1"/>
  <c r="D353" i="1"/>
  <c r="C353" i="1"/>
  <c r="F352" i="1"/>
  <c r="E352" i="1"/>
  <c r="D352" i="1"/>
  <c r="C352" i="1"/>
  <c r="F351" i="1"/>
  <c r="E351" i="1"/>
  <c r="D351" i="1"/>
  <c r="C351" i="1"/>
  <c r="F350" i="1"/>
  <c r="E350" i="1"/>
  <c r="D350" i="1"/>
  <c r="C350" i="1"/>
  <c r="F349" i="1"/>
  <c r="E349" i="1"/>
  <c r="D349" i="1"/>
  <c r="C349" i="1"/>
  <c r="F348" i="1"/>
  <c r="E348" i="1"/>
  <c r="D348" i="1"/>
  <c r="C348" i="1"/>
  <c r="F347" i="1"/>
  <c r="E347" i="1"/>
  <c r="D347" i="1"/>
  <c r="C347" i="1"/>
  <c r="F346" i="1"/>
  <c r="E346" i="1"/>
  <c r="D346" i="1"/>
  <c r="C346" i="1"/>
  <c r="F345" i="1"/>
  <c r="E345" i="1"/>
  <c r="D345" i="1"/>
  <c r="C345" i="1"/>
  <c r="F344" i="1"/>
  <c r="E344" i="1"/>
  <c r="D344" i="1"/>
  <c r="C344" i="1"/>
  <c r="F343" i="1"/>
  <c r="E343" i="1"/>
  <c r="D343" i="1"/>
  <c r="C343" i="1"/>
  <c r="F342" i="1"/>
  <c r="E342" i="1"/>
  <c r="D342" i="1"/>
  <c r="C342" i="1"/>
  <c r="F341" i="1"/>
  <c r="E341" i="1"/>
  <c r="D341" i="1"/>
  <c r="C341" i="1"/>
  <c r="F340" i="1"/>
  <c r="E340" i="1"/>
  <c r="D340" i="1"/>
  <c r="C340" i="1"/>
  <c r="F339" i="1"/>
  <c r="E339" i="1"/>
  <c r="D339" i="1"/>
  <c r="C339" i="1"/>
  <c r="F338" i="1"/>
  <c r="E338" i="1"/>
  <c r="D338" i="1"/>
  <c r="C338" i="1"/>
  <c r="F337" i="1"/>
  <c r="E337" i="1"/>
  <c r="D337" i="1"/>
  <c r="C337" i="1"/>
  <c r="F336" i="1"/>
  <c r="E336" i="1"/>
  <c r="D336" i="1"/>
  <c r="C336" i="1"/>
  <c r="F335" i="1"/>
  <c r="E335" i="1"/>
  <c r="D335" i="1"/>
  <c r="C335" i="1"/>
  <c r="F334" i="1"/>
  <c r="E334" i="1"/>
  <c r="D334" i="1"/>
  <c r="C334" i="1"/>
  <c r="F333" i="1"/>
  <c r="E333" i="1"/>
  <c r="D333" i="1"/>
  <c r="C333" i="1"/>
  <c r="F332" i="1"/>
  <c r="E332" i="1"/>
  <c r="D332" i="1"/>
  <c r="C332" i="1"/>
  <c r="F331" i="1"/>
  <c r="E331" i="1"/>
  <c r="D331" i="1"/>
  <c r="C331" i="1"/>
  <c r="F330" i="1"/>
  <c r="E330" i="1"/>
  <c r="D330" i="1"/>
  <c r="C330" i="1"/>
  <c r="F329" i="1"/>
  <c r="E329" i="1"/>
  <c r="D329" i="1"/>
  <c r="C329" i="1"/>
  <c r="F328" i="1"/>
  <c r="E328" i="1"/>
  <c r="D328" i="1"/>
  <c r="C328" i="1"/>
  <c r="F327" i="1"/>
  <c r="E327" i="1"/>
  <c r="D327" i="1"/>
  <c r="C327" i="1"/>
  <c r="F326" i="1"/>
  <c r="E326" i="1"/>
  <c r="D326" i="1"/>
  <c r="C326" i="1"/>
  <c r="F325" i="1"/>
  <c r="E325" i="1"/>
  <c r="D325" i="1"/>
  <c r="C325" i="1"/>
  <c r="F324" i="1"/>
  <c r="E324" i="1"/>
  <c r="D324" i="1"/>
  <c r="C324" i="1"/>
  <c r="F323" i="1"/>
  <c r="E323" i="1"/>
  <c r="D323" i="1"/>
  <c r="C323" i="1"/>
  <c r="F322" i="1"/>
  <c r="E322" i="1"/>
  <c r="D322" i="1"/>
  <c r="C322" i="1"/>
  <c r="F321" i="1"/>
  <c r="E321" i="1"/>
  <c r="D321" i="1"/>
  <c r="C321" i="1"/>
  <c r="F320" i="1"/>
  <c r="E320" i="1"/>
  <c r="D320" i="1"/>
  <c r="C320" i="1"/>
  <c r="F319" i="1"/>
  <c r="E319" i="1"/>
  <c r="D319" i="1"/>
  <c r="C319" i="1"/>
  <c r="F318" i="1"/>
  <c r="E318" i="1"/>
  <c r="D318" i="1"/>
  <c r="C318" i="1"/>
  <c r="F317" i="1"/>
  <c r="E317" i="1"/>
  <c r="D317" i="1"/>
  <c r="C317" i="1"/>
  <c r="F316" i="1"/>
  <c r="E316" i="1"/>
  <c r="D316" i="1"/>
  <c r="C316" i="1"/>
  <c r="F315" i="1"/>
  <c r="E315" i="1"/>
  <c r="D315" i="1"/>
  <c r="C315" i="1"/>
  <c r="F314" i="1"/>
  <c r="E314" i="1"/>
  <c r="D314" i="1"/>
  <c r="C314" i="1"/>
  <c r="F313" i="1"/>
  <c r="E313" i="1"/>
  <c r="D313" i="1"/>
  <c r="C313" i="1"/>
  <c r="F312" i="1"/>
  <c r="E312" i="1"/>
  <c r="D312" i="1"/>
  <c r="C312" i="1"/>
  <c r="F311" i="1"/>
  <c r="E311" i="1"/>
  <c r="D311" i="1"/>
  <c r="C311" i="1"/>
  <c r="F310" i="1"/>
  <c r="E310" i="1"/>
  <c r="D310" i="1"/>
  <c r="C310" i="1"/>
  <c r="F309" i="1"/>
  <c r="E309" i="1"/>
  <c r="D309" i="1"/>
  <c r="C309" i="1"/>
  <c r="F308" i="1"/>
  <c r="E308" i="1"/>
  <c r="D308" i="1"/>
  <c r="C308" i="1"/>
  <c r="F307" i="1"/>
  <c r="E307" i="1"/>
  <c r="D307" i="1"/>
  <c r="C307" i="1"/>
  <c r="F306" i="1"/>
  <c r="E306" i="1"/>
  <c r="D306" i="1"/>
  <c r="C306" i="1"/>
  <c r="F305" i="1"/>
  <c r="E305" i="1"/>
  <c r="D305" i="1"/>
  <c r="C305" i="1"/>
  <c r="F304" i="1"/>
  <c r="E304" i="1"/>
  <c r="D304" i="1"/>
  <c r="C304" i="1"/>
  <c r="F303" i="1"/>
  <c r="E303" i="1"/>
  <c r="D303" i="1"/>
  <c r="C303" i="1"/>
  <c r="F302" i="1"/>
  <c r="E302" i="1"/>
  <c r="D302" i="1"/>
  <c r="C302" i="1"/>
  <c r="F301" i="1"/>
  <c r="E301" i="1"/>
  <c r="D301" i="1"/>
  <c r="C301" i="1"/>
  <c r="F300" i="1"/>
  <c r="E300" i="1"/>
  <c r="D300" i="1"/>
  <c r="C300" i="1"/>
  <c r="F299" i="1"/>
  <c r="E299" i="1"/>
  <c r="D299" i="1"/>
  <c r="C299" i="1"/>
  <c r="F298" i="1"/>
  <c r="E298" i="1"/>
  <c r="D298" i="1"/>
  <c r="C298" i="1"/>
  <c r="F297" i="1"/>
  <c r="E297" i="1"/>
  <c r="D297" i="1"/>
  <c r="C297" i="1"/>
  <c r="F296" i="1"/>
  <c r="E296" i="1"/>
  <c r="D296" i="1"/>
  <c r="C296" i="1"/>
  <c r="F295" i="1"/>
  <c r="E295" i="1"/>
  <c r="D295" i="1"/>
  <c r="C295" i="1"/>
  <c r="F294" i="1"/>
  <c r="E294" i="1"/>
  <c r="D294" i="1"/>
  <c r="C294" i="1"/>
  <c r="F293" i="1"/>
  <c r="E293" i="1"/>
  <c r="D293" i="1"/>
  <c r="C293" i="1"/>
  <c r="F292" i="1"/>
  <c r="E292" i="1"/>
  <c r="D292" i="1"/>
  <c r="C292" i="1"/>
  <c r="F291" i="1"/>
  <c r="E291" i="1"/>
  <c r="D291" i="1"/>
  <c r="C291" i="1"/>
  <c r="F290" i="1"/>
  <c r="E290" i="1"/>
  <c r="D290" i="1"/>
  <c r="C290" i="1"/>
  <c r="F289" i="1"/>
  <c r="E289" i="1"/>
  <c r="D289" i="1"/>
  <c r="C289" i="1"/>
  <c r="F288" i="1"/>
  <c r="E288" i="1"/>
  <c r="D288" i="1"/>
  <c r="C288" i="1"/>
  <c r="F287" i="1"/>
  <c r="E287" i="1"/>
  <c r="D287" i="1"/>
  <c r="C287" i="1"/>
  <c r="F286" i="1"/>
  <c r="E286" i="1"/>
  <c r="D286" i="1"/>
  <c r="C286" i="1"/>
  <c r="F285" i="1"/>
  <c r="E285" i="1"/>
  <c r="D285" i="1"/>
  <c r="C285" i="1"/>
  <c r="F284" i="1"/>
  <c r="E284" i="1"/>
  <c r="D284" i="1"/>
  <c r="C284" i="1"/>
  <c r="F283" i="1"/>
  <c r="E283" i="1"/>
  <c r="D283" i="1"/>
  <c r="C283" i="1"/>
  <c r="F282" i="1"/>
  <c r="E282" i="1"/>
  <c r="D282" i="1"/>
  <c r="C282" i="1"/>
  <c r="F281" i="1"/>
  <c r="E281" i="1"/>
  <c r="D281" i="1"/>
  <c r="C281" i="1"/>
  <c r="F280" i="1"/>
  <c r="E280" i="1"/>
  <c r="D280" i="1"/>
  <c r="C280" i="1"/>
  <c r="F279" i="1"/>
  <c r="E279" i="1"/>
  <c r="D279" i="1"/>
  <c r="C279" i="1"/>
  <c r="F278" i="1"/>
  <c r="E278" i="1"/>
  <c r="D278" i="1"/>
  <c r="C278" i="1"/>
  <c r="F277" i="1"/>
  <c r="E277" i="1"/>
  <c r="D277" i="1"/>
  <c r="C277" i="1"/>
  <c r="F276" i="1"/>
  <c r="E276" i="1"/>
  <c r="D276" i="1"/>
  <c r="C276" i="1"/>
  <c r="F275" i="1"/>
  <c r="E275" i="1"/>
  <c r="D275" i="1"/>
  <c r="C275" i="1"/>
  <c r="F274" i="1"/>
  <c r="E274" i="1"/>
  <c r="D274" i="1"/>
  <c r="C274" i="1"/>
  <c r="F273" i="1"/>
  <c r="E273" i="1"/>
  <c r="D273" i="1"/>
  <c r="C273" i="1"/>
  <c r="F272" i="1"/>
  <c r="E272" i="1"/>
  <c r="D272" i="1"/>
  <c r="C272" i="1"/>
  <c r="F271" i="1"/>
  <c r="E271" i="1"/>
  <c r="D271" i="1"/>
  <c r="C271" i="1"/>
  <c r="F270" i="1"/>
  <c r="E270" i="1"/>
  <c r="D270" i="1"/>
  <c r="C270" i="1"/>
  <c r="F269" i="1"/>
  <c r="E269" i="1"/>
  <c r="D269" i="1"/>
  <c r="C269" i="1"/>
  <c r="F268" i="1"/>
  <c r="E268" i="1"/>
  <c r="D268" i="1"/>
  <c r="C268" i="1"/>
  <c r="F267" i="1"/>
  <c r="E267" i="1"/>
  <c r="D267" i="1"/>
  <c r="C267" i="1"/>
  <c r="F266" i="1"/>
  <c r="E266" i="1"/>
  <c r="D266" i="1"/>
  <c r="C266" i="1"/>
  <c r="F265" i="1"/>
  <c r="E265" i="1"/>
  <c r="D265" i="1"/>
  <c r="C265" i="1"/>
  <c r="F264" i="1"/>
  <c r="E264" i="1"/>
  <c r="D264" i="1"/>
  <c r="C264" i="1"/>
  <c r="F263" i="1"/>
  <c r="E263" i="1"/>
  <c r="D263" i="1"/>
  <c r="C263" i="1"/>
  <c r="F262" i="1"/>
  <c r="E262" i="1"/>
  <c r="D262" i="1"/>
  <c r="C262" i="1"/>
  <c r="F261" i="1"/>
  <c r="E261" i="1"/>
  <c r="D261" i="1"/>
  <c r="C261" i="1"/>
  <c r="F260" i="1"/>
  <c r="E260" i="1"/>
  <c r="D260" i="1"/>
  <c r="C260" i="1"/>
  <c r="F259" i="1"/>
  <c r="E259" i="1"/>
  <c r="D259" i="1"/>
  <c r="C259" i="1"/>
  <c r="F258" i="1"/>
  <c r="E258" i="1"/>
  <c r="D258" i="1"/>
  <c r="C258" i="1"/>
  <c r="F257" i="1"/>
  <c r="E257" i="1"/>
  <c r="D257" i="1"/>
  <c r="C257" i="1"/>
  <c r="F256" i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</calcChain>
</file>

<file path=xl/sharedStrings.xml><?xml version="1.0" encoding="utf-8"?>
<sst xmlns="http://schemas.openxmlformats.org/spreadsheetml/2006/main" count="4097" uniqueCount="590">
  <si>
    <t>ANEXO No. 69</t>
  </si>
  <si>
    <t>TOTAL  788 BIENES MUEBLES NO CAPITALIZABLES MENORES (BMNC)</t>
  </si>
  <si>
    <t>No.</t>
  </si>
  <si>
    <t>ID Usuario</t>
  </si>
  <si>
    <t>Unidad de Informacion</t>
  </si>
  <si>
    <t>Id Bien Capitalizable/No Capt</t>
  </si>
  <si>
    <t>ID Activo</t>
  </si>
  <si>
    <t>Descripcion</t>
  </si>
  <si>
    <t>Tipo de Bien Cap No Cap</t>
  </si>
  <si>
    <t>Unidad de Medida</t>
  </si>
  <si>
    <t>Cantidad</t>
  </si>
  <si>
    <t xml:space="preserve">UBICACIÓN </t>
  </si>
  <si>
    <t xml:space="preserve">VALOR DE RESCATE </t>
  </si>
  <si>
    <t>JUAREZ</t>
  </si>
  <si>
    <t>No Capitalizable</t>
  </si>
  <si>
    <t>Pieza</t>
  </si>
  <si>
    <t xml:space="preserve">BODEGA DE ENAJENACIONES </t>
  </si>
  <si>
    <t>OCOTLAN</t>
  </si>
  <si>
    <t>HGZ 07</t>
  </si>
  <si>
    <t>HGZ 09</t>
  </si>
  <si>
    <t>HGZ 14</t>
  </si>
  <si>
    <t>HGZ 21</t>
  </si>
  <si>
    <t>HGR 46</t>
  </si>
  <si>
    <t>HGZ 89</t>
  </si>
  <si>
    <t>140104</t>
  </si>
  <si>
    <t>14.140104/2024.00298/BNC</t>
  </si>
  <si>
    <t>140104240298</t>
  </si>
  <si>
    <t>SILLA SECRETARIAL</t>
  </si>
  <si>
    <t>14.140104/2024.00299/BNC</t>
  </si>
  <si>
    <t>140104240299</t>
  </si>
  <si>
    <t>14.140104/2024.00300/BNC</t>
  </si>
  <si>
    <t>140104240300</t>
  </si>
  <si>
    <t>14.140104/2024.00301/BNC</t>
  </si>
  <si>
    <t>140104240301</t>
  </si>
  <si>
    <t>14.140104/2024.00302/BNC</t>
  </si>
  <si>
    <t>140104240302</t>
  </si>
  <si>
    <t>TANQUE DIESEL</t>
  </si>
  <si>
    <t xml:space="preserve">DEPOSITADO EN UNIDAD </t>
  </si>
  <si>
    <t>14.140104/2024.00303/BNC</t>
  </si>
  <si>
    <t>140104240303</t>
  </si>
  <si>
    <t>SILLON RECLINABLE</t>
  </si>
  <si>
    <t>14.140104/2024.00304/BNC</t>
  </si>
  <si>
    <t>140104240304</t>
  </si>
  <si>
    <t>AIRE ACONDICIONADO</t>
  </si>
  <si>
    <t>14.140104/2024.00305/BNC</t>
  </si>
  <si>
    <t>140104240305</t>
  </si>
  <si>
    <t>SILLA DE RUEDAS</t>
  </si>
  <si>
    <t>14.140104/2024.00306/BNC</t>
  </si>
  <si>
    <t>140104240306</t>
  </si>
  <si>
    <t>14.140104/2024.00307/BNC</t>
  </si>
  <si>
    <t>140104240307</t>
  </si>
  <si>
    <t>14.140104/2024.00293/BNC</t>
  </si>
  <si>
    <t>140104240293</t>
  </si>
  <si>
    <t>14.140104/2024.00294/BNC</t>
  </si>
  <si>
    <t>140104240294</t>
  </si>
  <si>
    <t>14.140104/2024.00295/BNC</t>
  </si>
  <si>
    <t>140104240295</t>
  </si>
  <si>
    <t>14.140104/2024.00296/BNC</t>
  </si>
  <si>
    <t>140104240296</t>
  </si>
  <si>
    <t>14.140104/2024.00297/BNC</t>
  </si>
  <si>
    <t>140104240297</t>
  </si>
  <si>
    <t>14.140104/2024.00146/BNC</t>
  </si>
  <si>
    <t>140104240146</t>
  </si>
  <si>
    <t>MAMPARA</t>
  </si>
  <si>
    <t>14.140104/2024.00147/BNC</t>
  </si>
  <si>
    <t>140104240147</t>
  </si>
  <si>
    <t>BANCO DE ALTURA</t>
  </si>
  <si>
    <t>14.140104/2024.00148/BNC</t>
  </si>
  <si>
    <t>140104240148</t>
  </si>
  <si>
    <t>14.140104/2024.00149/BNC</t>
  </si>
  <si>
    <t>140104240149</t>
  </si>
  <si>
    <t>ESTETOSCOPIO</t>
  </si>
  <si>
    <t>14.140104/2024.00150/BNC</t>
  </si>
  <si>
    <t>140104240150</t>
  </si>
  <si>
    <t>14.140104/2024.00151/BNC</t>
  </si>
  <si>
    <t>140104240151</t>
  </si>
  <si>
    <t>14.140104/2024.00152/BNC</t>
  </si>
  <si>
    <t>140104240152</t>
  </si>
  <si>
    <t>14.140104/2024.00153/BNC</t>
  </si>
  <si>
    <t>140104240153</t>
  </si>
  <si>
    <t>14.140104/2024.00154/BNC</t>
  </si>
  <si>
    <t>140104240154</t>
  </si>
  <si>
    <t>14.140104/2024.00155/BNC</t>
  </si>
  <si>
    <t>140104240155</t>
  </si>
  <si>
    <t>14.140104/2024.00156/BNC</t>
  </si>
  <si>
    <t>140104240156</t>
  </si>
  <si>
    <t>BAUMANOMETROS</t>
  </si>
  <si>
    <t>14.140104/2024.00157/BNC</t>
  </si>
  <si>
    <t>140104240157</t>
  </si>
  <si>
    <t>14.140104/2024.00158/BNC</t>
  </si>
  <si>
    <t>140104240158</t>
  </si>
  <si>
    <t>14.140104/2024.00159/BNC</t>
  </si>
  <si>
    <t>140104240159</t>
  </si>
  <si>
    <t>14.140104/2024.00160/BNC</t>
  </si>
  <si>
    <t>140104240160</t>
  </si>
  <si>
    <t>14.140104/2024.00161/BNC</t>
  </si>
  <si>
    <t>140104240161</t>
  </si>
  <si>
    <t>14.140104/2024.00162/BNC</t>
  </si>
  <si>
    <t>140104240162</t>
  </si>
  <si>
    <t>14.140104/2024.00163/BNC</t>
  </si>
  <si>
    <t>140104240163</t>
  </si>
  <si>
    <t>14.140104/2024.00164/BNC</t>
  </si>
  <si>
    <t>140104240164</t>
  </si>
  <si>
    <t>14.140104/2024.00165/BNC</t>
  </si>
  <si>
    <t>140104240165</t>
  </si>
  <si>
    <t>14.140104/2024.00166/BNC</t>
  </si>
  <si>
    <t>140104240166</t>
  </si>
  <si>
    <t>GLUCOMETRO</t>
  </si>
  <si>
    <t>14.140104/2024.00167/BNC</t>
  </si>
  <si>
    <t>140104240167</t>
  </si>
  <si>
    <t>14.140104/2024.00168/BNC</t>
  </si>
  <si>
    <t>140104240168</t>
  </si>
  <si>
    <t>CARGADOR DE PILAS</t>
  </si>
  <si>
    <t>14.140104/2024.00169/BNC</t>
  </si>
  <si>
    <t>140104240169</t>
  </si>
  <si>
    <t>14.140104/2024.00170/BNC</t>
  </si>
  <si>
    <t>140104240170</t>
  </si>
  <si>
    <t>TERMOMETRO</t>
  </si>
  <si>
    <t>14.140104/2024.00171/BNC</t>
  </si>
  <si>
    <t>140104240171</t>
  </si>
  <si>
    <t>OXIMETRO DE PULSO DEDAL</t>
  </si>
  <si>
    <t>14.140104/2024.00172/BNC</t>
  </si>
  <si>
    <t>140104240172</t>
  </si>
  <si>
    <t>14.140104/2024.00173/BNC</t>
  </si>
  <si>
    <t>140104240173</t>
  </si>
  <si>
    <t>HOJA DE LARINGOSCOPIO</t>
  </si>
  <si>
    <t>14.140104/2024.00174/BNC</t>
  </si>
  <si>
    <t>140104240174</t>
  </si>
  <si>
    <t>14.140104/2024.00175/BNC</t>
  </si>
  <si>
    <t>140104240175</t>
  </si>
  <si>
    <t>SILLON DE PIEL</t>
  </si>
  <si>
    <t>14.140104/2024.00176/BNC</t>
  </si>
  <si>
    <t>140104240176</t>
  </si>
  <si>
    <t>SILLA SEMIEJECUTIVA</t>
  </si>
  <si>
    <t>14.140104/2024.00177/BNC</t>
  </si>
  <si>
    <t>140104240177</t>
  </si>
  <si>
    <t>14.140104/2024.00178/BNC</t>
  </si>
  <si>
    <t>140104240178</t>
  </si>
  <si>
    <t>14.140104/2024.00179/BNC</t>
  </si>
  <si>
    <t>140104240179</t>
  </si>
  <si>
    <t>PIZARRON</t>
  </si>
  <si>
    <t>14.140104/2024.00180/BNC</t>
  </si>
  <si>
    <t>140104240180</t>
  </si>
  <si>
    <t>14.140104/2024.00181/BNC</t>
  </si>
  <si>
    <t>140104240181</t>
  </si>
  <si>
    <t>14.140104/2024.00182/BNC</t>
  </si>
  <si>
    <t>140104240182</t>
  </si>
  <si>
    <t>PINZA KELLY 16CM</t>
  </si>
  <si>
    <t>14.140104/2024.00183/BNC</t>
  </si>
  <si>
    <t>140104240183</t>
  </si>
  <si>
    <t>14.140104/2024.00184/BNC</t>
  </si>
  <si>
    <t>140104240184</t>
  </si>
  <si>
    <t>14.140104/2024.00185/BNC</t>
  </si>
  <si>
    <t>140104240185</t>
  </si>
  <si>
    <t>14.140104/2024.00186/BNC</t>
  </si>
  <si>
    <t>140104240186</t>
  </si>
  <si>
    <t>14.140104/2024.00187/BNC</t>
  </si>
  <si>
    <t>140104240187</t>
  </si>
  <si>
    <t>14.140104/2024.00188/BNC</t>
  </si>
  <si>
    <t>140104240188</t>
  </si>
  <si>
    <t>14.140104/2024.00189/BNC</t>
  </si>
  <si>
    <t>140104240189</t>
  </si>
  <si>
    <t>14.140104/2024.00190/BNC</t>
  </si>
  <si>
    <t>140104240190</t>
  </si>
  <si>
    <t>14.140104/2024.00191/BNC</t>
  </si>
  <si>
    <t>140104240191</t>
  </si>
  <si>
    <t>14.140104/2024.00192/BNC</t>
  </si>
  <si>
    <t>140104240192</t>
  </si>
  <si>
    <t>14.140104/2024.00193/BNC</t>
  </si>
  <si>
    <t>140104240193</t>
  </si>
  <si>
    <t>PINZA KELLY 14CM</t>
  </si>
  <si>
    <t>14.140104/2024.00194/BNC</t>
  </si>
  <si>
    <t>140104240194</t>
  </si>
  <si>
    <t>PORTA AGUJAS 20.5CM</t>
  </si>
  <si>
    <t>14.140104/2024.00195/BNC</t>
  </si>
  <si>
    <t>140104240195</t>
  </si>
  <si>
    <t>14.140104/2024.00196/BNC</t>
  </si>
  <si>
    <t>140104240196</t>
  </si>
  <si>
    <t>14.140104/2024.00197/BNC</t>
  </si>
  <si>
    <t>140104240197</t>
  </si>
  <si>
    <t>14.140104/2024.00198/BNC</t>
  </si>
  <si>
    <t>140104240198</t>
  </si>
  <si>
    <t>14.140104/2024.00199/BNC</t>
  </si>
  <si>
    <t>140104240199</t>
  </si>
  <si>
    <t>PINZA MOSQUITO CURVA</t>
  </si>
  <si>
    <t>14.140104/2024.00200/BNC</t>
  </si>
  <si>
    <t>140104240200</t>
  </si>
  <si>
    <t>SEPARADOR WEITLANDER</t>
  </si>
  <si>
    <t>14.140104/2024.00201/BNC</t>
  </si>
  <si>
    <t>140104240201</t>
  </si>
  <si>
    <t>14.140104/2024.00202/BNC</t>
  </si>
  <si>
    <t>140104240202</t>
  </si>
  <si>
    <t>PINZA ALLIS 19CM</t>
  </si>
  <si>
    <t>14.140104/2024.00203/BNC</t>
  </si>
  <si>
    <t>140104240203</t>
  </si>
  <si>
    <t>BROCA 1.0</t>
  </si>
  <si>
    <t>14.140104/2024.00204/BNC</t>
  </si>
  <si>
    <t>140104240204</t>
  </si>
  <si>
    <t>PINZA ROCHESTER CURVA</t>
  </si>
  <si>
    <t>14.140104/2024.00205/BNC</t>
  </si>
  <si>
    <t>140104240205</t>
  </si>
  <si>
    <t>14.140104/2024.00206/BNC</t>
  </si>
  <si>
    <t>140104240206</t>
  </si>
  <si>
    <t>PINZA BABY MOSQUITO RECTA 6CM</t>
  </si>
  <si>
    <t>14.140104/2024.00207/BNC</t>
  </si>
  <si>
    <t>140104240207</t>
  </si>
  <si>
    <t>PERFORADOR DEWALT</t>
  </si>
  <si>
    <t>14.140104/2024.00208/BNC</t>
  </si>
  <si>
    <t>140104240208</t>
  </si>
  <si>
    <t>VALVA GRANDE</t>
  </si>
  <si>
    <t>14.140104/2024.00209/BNC</t>
  </si>
  <si>
    <t>140104240209</t>
  </si>
  <si>
    <t>PINZA MAGUIL</t>
  </si>
  <si>
    <t>14.140104/2024.00210/BNC</t>
  </si>
  <si>
    <t>140104240210</t>
  </si>
  <si>
    <t>LENTE 30 GRADOS PARA CISTOSCOPIA</t>
  </si>
  <si>
    <t>14.140104/2024.00211/BNC</t>
  </si>
  <si>
    <t>140104240211</t>
  </si>
  <si>
    <t>MANGO METALICO</t>
  </si>
  <si>
    <t>14.140104/2024.00212/BNC</t>
  </si>
  <si>
    <t>140104240212</t>
  </si>
  <si>
    <t>LAMPARA LED FRONTAL HEALDLINHT</t>
  </si>
  <si>
    <t>14.140104/2024.00213/BNC</t>
  </si>
  <si>
    <t>140104240213</t>
  </si>
  <si>
    <t>MARTILLO O IMPACTOR CON PUNTA DE PLASTICO</t>
  </si>
  <si>
    <t>14.140104/2024.00214/BNC</t>
  </si>
  <si>
    <t>140104240214</t>
  </si>
  <si>
    <t>PORTA AGUJAS 26CM</t>
  </si>
  <si>
    <t>14.140104/2024.00215/BNC</t>
  </si>
  <si>
    <t>140104240215</t>
  </si>
  <si>
    <t>SEPARADOR HOFFMAN26CM</t>
  </si>
  <si>
    <t>14.140104/2024.00216/BNC</t>
  </si>
  <si>
    <t>140104240216</t>
  </si>
  <si>
    <t>CABLE DE BOMBA DE INFUSION</t>
  </si>
  <si>
    <t>14.140104/2024.00217/BNC</t>
  </si>
  <si>
    <t>140104240217</t>
  </si>
  <si>
    <t>LAMPARA FRONTAL WELCHALLYN</t>
  </si>
  <si>
    <t>14.140104/2024.00218/BNC</t>
  </si>
  <si>
    <t>140104240218</t>
  </si>
  <si>
    <t>CANULA DE FRAZIER</t>
  </si>
  <si>
    <t>14.140104/2024.00219/BNC</t>
  </si>
  <si>
    <t>140104240219</t>
  </si>
  <si>
    <t>HISTEROMETRO DE SIMS</t>
  </si>
  <si>
    <t>14.140104/2024.00220/BNC</t>
  </si>
  <si>
    <t>140104240220</t>
  </si>
  <si>
    <t>14.140104/2024.00221/BNC</t>
  </si>
  <si>
    <t>140104240221</t>
  </si>
  <si>
    <t>14.140104/2024.00222/BNC</t>
  </si>
  <si>
    <t>140104240222</t>
  </si>
  <si>
    <t>CABEZAL LAMPARA FRONTAL SIN PILA</t>
  </si>
  <si>
    <t>14.140104/2024.00223/BNC</t>
  </si>
  <si>
    <t>140104240223</t>
  </si>
  <si>
    <t>MEMORIA METALICA N 4 Y 5</t>
  </si>
  <si>
    <t>14.140104/2024.00224/BNC</t>
  </si>
  <si>
    <t>140104240224</t>
  </si>
  <si>
    <t>14.140104/2024.00225/BNC</t>
  </si>
  <si>
    <t>140104240225</t>
  </si>
  <si>
    <t>PINZA DE CUERPO EXTRAÑO</t>
  </si>
  <si>
    <t>14.140104/2024.00226/BNC</t>
  </si>
  <si>
    <t>140104240226</t>
  </si>
  <si>
    <t>ENGRAPADORA DESECHABLE CON GRAPAS</t>
  </si>
  <si>
    <t>14.140104/2024.00227/BNC</t>
  </si>
  <si>
    <t>140104240227</t>
  </si>
  <si>
    <t>PASA HILOS ARTROSCOPIA DESECHABLE</t>
  </si>
  <si>
    <t>14.140104/2024.00228/BNC</t>
  </si>
  <si>
    <t>140104240228</t>
  </si>
  <si>
    <t>LAMPARA CON CARGADOR</t>
  </si>
  <si>
    <t>14.140104/2024.00229/BNC</t>
  </si>
  <si>
    <t>140104240229</t>
  </si>
  <si>
    <t>CHAROLA METALICA CHICA</t>
  </si>
  <si>
    <t>14.140104/2024.00230/BNC</t>
  </si>
  <si>
    <t>140104240230</t>
  </si>
  <si>
    <t>RINOSCOPIO</t>
  </si>
  <si>
    <t>14.140104/2024.00231/BNC</t>
  </si>
  <si>
    <t>140104240231</t>
  </si>
  <si>
    <t>TIJERA METZEMBAUM</t>
  </si>
  <si>
    <t>14.140104/2024.00232/BNC</t>
  </si>
  <si>
    <t>140104240232</t>
  </si>
  <si>
    <t>14.140104/2024.00233/BNC</t>
  </si>
  <si>
    <t>140104240233</t>
  </si>
  <si>
    <t>14.140104/2024.00234/BNC</t>
  </si>
  <si>
    <t>140104240234</t>
  </si>
  <si>
    <t>LEGRA 25CM</t>
  </si>
  <si>
    <t>14.140104/2024.00235/BNC</t>
  </si>
  <si>
    <t>140104240235</t>
  </si>
  <si>
    <t>LEGRA N 6</t>
  </si>
  <si>
    <t>14.140104/2024.00236/BNC</t>
  </si>
  <si>
    <t>140104240236</t>
  </si>
  <si>
    <t>TIJERA DE MAYO</t>
  </si>
  <si>
    <t>14.140104/2024.00237/BNC</t>
  </si>
  <si>
    <t>140104240237</t>
  </si>
  <si>
    <t>14.140104/2024.00238/BNC</t>
  </si>
  <si>
    <t>140104240238</t>
  </si>
  <si>
    <t>SEPARADOR DE GARRA</t>
  </si>
  <si>
    <t>14.140104/2024.00239/BNC</t>
  </si>
  <si>
    <t>140104240239</t>
  </si>
  <si>
    <t>14.140104/2024.00240/BNC</t>
  </si>
  <si>
    <t>140104240240</t>
  </si>
  <si>
    <t>SEPARADOR SEAN MILLER</t>
  </si>
  <si>
    <t>14.140104/2024.00241/BNC</t>
  </si>
  <si>
    <t>140104240241</t>
  </si>
  <si>
    <t>DILATADOR RECTO</t>
  </si>
  <si>
    <t>14.140104/2024.00242/BNC</t>
  </si>
  <si>
    <t>140104240242</t>
  </si>
  <si>
    <t>DILATADOR CURVO</t>
  </si>
  <si>
    <t>14.140104/2024.00243/BNC</t>
  </si>
  <si>
    <t>140104240243</t>
  </si>
  <si>
    <t>PORTA AGUJAS CASTRO VIEJO</t>
  </si>
  <si>
    <t>14.140104/2024.00244/BNC</t>
  </si>
  <si>
    <t>140104240244</t>
  </si>
  <si>
    <t>14.140104/2024.00245/BNC</t>
  </si>
  <si>
    <t>140104240245</t>
  </si>
  <si>
    <t>14.140104/2024.00246/BNC</t>
  </si>
  <si>
    <t>140104240246</t>
  </si>
  <si>
    <t>14.140104/2024.00247/BNC</t>
  </si>
  <si>
    <t>140104240247</t>
  </si>
  <si>
    <t>14.140104/2024.00248/BNC</t>
  </si>
  <si>
    <t>140104240248</t>
  </si>
  <si>
    <t>DILATADOR DE LAGRIMAL</t>
  </si>
  <si>
    <t>14.140104/2024.00249/BNC</t>
  </si>
  <si>
    <t>140104240249</t>
  </si>
  <si>
    <t>SONDA DE IRRIGACION</t>
  </si>
  <si>
    <t>14.140104/2024.00250/BNC</t>
  </si>
  <si>
    <t>140104240250</t>
  </si>
  <si>
    <t>14.140104/2024.00251/BNC</t>
  </si>
  <si>
    <t>140104240251</t>
  </si>
  <si>
    <t>TAPA METALICA DE BENZALERA</t>
  </si>
  <si>
    <t>14.140104/2024.00252/BNC</t>
  </si>
  <si>
    <t>140104240252</t>
  </si>
  <si>
    <t>14.140104/2024.00253/BNC</t>
  </si>
  <si>
    <t>140104240253</t>
  </si>
  <si>
    <t>14.140104/2024.00254/BNC</t>
  </si>
  <si>
    <t>140104240254</t>
  </si>
  <si>
    <t>14.140104/2024.00255/BNC</t>
  </si>
  <si>
    <t>140104240255</t>
  </si>
  <si>
    <t>14.140104/2024.00256/BNC</t>
  </si>
  <si>
    <t>140104240256</t>
  </si>
  <si>
    <t>14.140104/2024.00257/BNC</t>
  </si>
  <si>
    <t>140104240257</t>
  </si>
  <si>
    <t>PINZAS PARA ANASTOMOSIS</t>
  </si>
  <si>
    <t>14.140104/2024.00258/BNC</t>
  </si>
  <si>
    <t>140104240258</t>
  </si>
  <si>
    <t>14.140104/2024.00259/BNC</t>
  </si>
  <si>
    <t>140104240259</t>
  </si>
  <si>
    <t>14.140104/2024.00260/BNC</t>
  </si>
  <si>
    <t>140104240260</t>
  </si>
  <si>
    <t>HOJA DE LARINGO N2 Y N3</t>
  </si>
  <si>
    <t>14.140104/2024.00261/BNC</t>
  </si>
  <si>
    <t>140104240261</t>
  </si>
  <si>
    <t>14.140104/2024.00262/BNC</t>
  </si>
  <si>
    <t>140104240262</t>
  </si>
  <si>
    <t>ESTILETE 13CM</t>
  </si>
  <si>
    <t>14.140104/2024.00263/BNC</t>
  </si>
  <si>
    <t>140104240263</t>
  </si>
  <si>
    <t>CAUTERIO BOLA OFTALMO</t>
  </si>
  <si>
    <t>14.140104/2024.00264/BNC</t>
  </si>
  <si>
    <t>140104240264</t>
  </si>
  <si>
    <t>PORTA AGUJAS 30CM</t>
  </si>
  <si>
    <t>14.140104/2024.00265/BNC</t>
  </si>
  <si>
    <t>140104240265</t>
  </si>
  <si>
    <t>CONTRA TUERCA TRAUMA</t>
  </si>
  <si>
    <t>14.140104/2024.00266/BNC</t>
  </si>
  <si>
    <t>140104240266</t>
  </si>
  <si>
    <t>TIJERA WESCOT OFTALMO</t>
  </si>
  <si>
    <t>14.140104/2024.00267/BNC</t>
  </si>
  <si>
    <t>140104240267</t>
  </si>
  <si>
    <t>PROYECTOR DE TEJIDOS</t>
  </si>
  <si>
    <t>14.140104/2024.00268/BNC</t>
  </si>
  <si>
    <t>140104240268</t>
  </si>
  <si>
    <t>GANCHO SENCILLO</t>
  </si>
  <si>
    <t>14.140104/2024.00269/BNC</t>
  </si>
  <si>
    <t>140104240269</t>
  </si>
  <si>
    <t>PINZA IRIS RECTA</t>
  </si>
  <si>
    <t>14.140104/2024.00270/BNC</t>
  </si>
  <si>
    <t>140104240270</t>
  </si>
  <si>
    <t>14.140104/2024.00271/BNC</t>
  </si>
  <si>
    <t>140104240271</t>
  </si>
  <si>
    <t>clamp bulldog 5cm</t>
  </si>
  <si>
    <t>14.140104/2024.00272/BNC</t>
  </si>
  <si>
    <t>140104240272</t>
  </si>
  <si>
    <t>pinza bishop con dientes</t>
  </si>
  <si>
    <t>14.140104/2024.00273/BNC</t>
  </si>
  <si>
    <t>140104240273</t>
  </si>
  <si>
    <t>destornillador fino</t>
  </si>
  <si>
    <t>14.140104/2024.00274/BNC</t>
  </si>
  <si>
    <t>140104240274</t>
  </si>
  <si>
    <t>TIJERA DE IRIS CURVA</t>
  </si>
  <si>
    <t>14.140104/2024.00275/BNC</t>
  </si>
  <si>
    <t>140104240275</t>
  </si>
  <si>
    <t>TIJERA DE IRIS RECTA</t>
  </si>
  <si>
    <t>14.140104/2024.00276/BNC</t>
  </si>
  <si>
    <t>140104240276</t>
  </si>
  <si>
    <t>PINZA KELLY RECTA</t>
  </si>
  <si>
    <t>14.140104/2024.00277/BNC</t>
  </si>
  <si>
    <t>140104240277</t>
  </si>
  <si>
    <t>14.140104/2024.00278/BNC</t>
  </si>
  <si>
    <t>140104240278</t>
  </si>
  <si>
    <t>CANULA YANKAWER</t>
  </si>
  <si>
    <t>14.140104/2024.00279/BNC</t>
  </si>
  <si>
    <t>140104240279</t>
  </si>
  <si>
    <t>14.140104/2024.00280/BNC</t>
  </si>
  <si>
    <t>140104240280</t>
  </si>
  <si>
    <t>PINZA CORTA CLAVOS</t>
  </si>
  <si>
    <t>14.140104/2024.00281/BNC</t>
  </si>
  <si>
    <t>140104240281</t>
  </si>
  <si>
    <t>14.140104/2024.00282/BNC</t>
  </si>
  <si>
    <t>140104240282</t>
  </si>
  <si>
    <t>PORTA AGUJAS 16CM</t>
  </si>
  <si>
    <t>14.140104/2024.00283/BNC</t>
  </si>
  <si>
    <t>140104240283</t>
  </si>
  <si>
    <t>14.140104/2024.00284/BNC</t>
  </si>
  <si>
    <t>140104240284</t>
  </si>
  <si>
    <t>14.140104/2024.00285/BNC</t>
  </si>
  <si>
    <t>140104240285</t>
  </si>
  <si>
    <t>14.140104/2024.00286/BNC</t>
  </si>
  <si>
    <t>140104240286</t>
  </si>
  <si>
    <t>14.140104/2024.00287/BNC</t>
  </si>
  <si>
    <t>140104240287</t>
  </si>
  <si>
    <t>14.140104/2024.00288/BNC</t>
  </si>
  <si>
    <t>140104240288</t>
  </si>
  <si>
    <t>14.140104/2024.00289/BNC</t>
  </si>
  <si>
    <t>140104240289</t>
  </si>
  <si>
    <t>PORTA AGUJAS VASCULAR 16CM</t>
  </si>
  <si>
    <t>14.140104/2024.00290/BNC</t>
  </si>
  <si>
    <t>140104240290</t>
  </si>
  <si>
    <t>14.140104/2024.00291/BNC</t>
  </si>
  <si>
    <t>140104240291</t>
  </si>
  <si>
    <t>PINZA ROCHESTER RECTA</t>
  </si>
  <si>
    <t>14.140104/2024.00292/BNC</t>
  </si>
  <si>
    <t>140104240292</t>
  </si>
  <si>
    <t>PINSA COCKER RECTA</t>
  </si>
  <si>
    <t>14.140104/2024.00086/BNC</t>
  </si>
  <si>
    <t>140104240086</t>
  </si>
  <si>
    <t>PUPITRE</t>
  </si>
  <si>
    <t>14.140104/2024.00087/BNC</t>
  </si>
  <si>
    <t>140104240087</t>
  </si>
  <si>
    <t>PUPITRE DE ESTUDIANTE</t>
  </si>
  <si>
    <t>14.140104/2024.00088/BNC</t>
  </si>
  <si>
    <t>140104240088</t>
  </si>
  <si>
    <t>PUPITRE DE ESTUDIENTE</t>
  </si>
  <si>
    <t>14.140104/2024.00089/BNC</t>
  </si>
  <si>
    <t>140104240089</t>
  </si>
  <si>
    <t>14.140104/2024.00090/BNC</t>
  </si>
  <si>
    <t>140104240090</t>
  </si>
  <si>
    <t>PUPITRE PARA ESTUDIENTE</t>
  </si>
  <si>
    <t>14.140104/2024.00091/BNC</t>
  </si>
  <si>
    <t>140104240091</t>
  </si>
  <si>
    <t>14.140104/2024.00092/BNC</t>
  </si>
  <si>
    <t>140104240092</t>
  </si>
  <si>
    <t>14.140104/2024.00093/BNC</t>
  </si>
  <si>
    <t>140104240093</t>
  </si>
  <si>
    <t>14.140104/2024.00094/BNC</t>
  </si>
  <si>
    <t>140104240094</t>
  </si>
  <si>
    <t>14.140104/2024.00095/BNC</t>
  </si>
  <si>
    <t>140104240095</t>
  </si>
  <si>
    <t>14.140104/2024.00096/BNC</t>
  </si>
  <si>
    <t>140104240096</t>
  </si>
  <si>
    <t>14.140104/2024.00097/BNC</t>
  </si>
  <si>
    <t>140104240097</t>
  </si>
  <si>
    <t>14.140104/2024.00098/BNC</t>
  </si>
  <si>
    <t>140104240098</t>
  </si>
  <si>
    <t>14.140104/2024.00099/BNC</t>
  </si>
  <si>
    <t>140104240099</t>
  </si>
  <si>
    <t>PUPITRE PARA ESTUDIANTE</t>
  </si>
  <si>
    <t>14.140104/2024.00100/BNC</t>
  </si>
  <si>
    <t>140104240100</t>
  </si>
  <si>
    <t>14.140104/2024.00101/BNC</t>
  </si>
  <si>
    <t>140104240101</t>
  </si>
  <si>
    <t>14.140104/2024.00102/BNC</t>
  </si>
  <si>
    <t>140104240102</t>
  </si>
  <si>
    <t>14.140104/2024.00103/BNC</t>
  </si>
  <si>
    <t>140104240103</t>
  </si>
  <si>
    <t>14.140104/2024.00104/BNC</t>
  </si>
  <si>
    <t>140104240104</t>
  </si>
  <si>
    <t>14.140104/2024.00105/BNC</t>
  </si>
  <si>
    <t>140104240105</t>
  </si>
  <si>
    <t>14.140104/2024.00106/BNC</t>
  </si>
  <si>
    <t>140104240106</t>
  </si>
  <si>
    <t>14.140104/2024.00107/BNC</t>
  </si>
  <si>
    <t>140104240107</t>
  </si>
  <si>
    <t>14.140104/2024.00108/BNC</t>
  </si>
  <si>
    <t>140104240108</t>
  </si>
  <si>
    <t>14.140104/2024.00109/BNC</t>
  </si>
  <si>
    <t>140104240109</t>
  </si>
  <si>
    <t>14.140104/2024.00110/BNC</t>
  </si>
  <si>
    <t>140104240110</t>
  </si>
  <si>
    <t>14.140104/2024.00111/BNC</t>
  </si>
  <si>
    <t>140104240111</t>
  </si>
  <si>
    <t>14.140104/2024.00112/BNC</t>
  </si>
  <si>
    <t>140104240112</t>
  </si>
  <si>
    <t>14.140104/2024.00113/BNC</t>
  </si>
  <si>
    <t>140104240113</t>
  </si>
  <si>
    <t>14.140104/2024.00114/BNC</t>
  </si>
  <si>
    <t>140104240114</t>
  </si>
  <si>
    <t>14.140104/2024.00115/BNC</t>
  </si>
  <si>
    <t>140104240115</t>
  </si>
  <si>
    <t>14.140104/2024.00116/BNC</t>
  </si>
  <si>
    <t>140104240116</t>
  </si>
  <si>
    <t>14.140104/2024.00117/BNC</t>
  </si>
  <si>
    <t>140104240117</t>
  </si>
  <si>
    <t>14.140104/2024.00118/BNC</t>
  </si>
  <si>
    <t>140104240118</t>
  </si>
  <si>
    <t>14.140104/2024.00119/BNC</t>
  </si>
  <si>
    <t>140104240119</t>
  </si>
  <si>
    <t>14.140104/2024.00120/BNC</t>
  </si>
  <si>
    <t>140104240120</t>
  </si>
  <si>
    <t>14.140104/2024.00121/BNC</t>
  </si>
  <si>
    <t>140104240121</t>
  </si>
  <si>
    <t>14.140104/2024.00122/BNC</t>
  </si>
  <si>
    <t>140104240122</t>
  </si>
  <si>
    <t>14.140104/2024.00123/BNC</t>
  </si>
  <si>
    <t>140104240123</t>
  </si>
  <si>
    <t>14.140104/2024.00124/BNC</t>
  </si>
  <si>
    <t>140104240124</t>
  </si>
  <si>
    <t>14.140104/2024.00125/BNC</t>
  </si>
  <si>
    <t>140104240125</t>
  </si>
  <si>
    <t>14.140104/2024.00126/BNC</t>
  </si>
  <si>
    <t>140104240126</t>
  </si>
  <si>
    <t>14.140104/2024.00127/BNC</t>
  </si>
  <si>
    <t>140104240127</t>
  </si>
  <si>
    <t>14.140104/2024.00128/BNC</t>
  </si>
  <si>
    <t>140104240128</t>
  </si>
  <si>
    <t>14.140104/2024.00129/BNC</t>
  </si>
  <si>
    <t>140104240129</t>
  </si>
  <si>
    <t>14.140104/2024.00130/BNC</t>
  </si>
  <si>
    <t>140104240130</t>
  </si>
  <si>
    <t>14.140104/2024.00131/BNC</t>
  </si>
  <si>
    <t>140104240131</t>
  </si>
  <si>
    <t>14.140104/2024.00132/BNC</t>
  </si>
  <si>
    <t>140104240132</t>
  </si>
  <si>
    <t>14.140104/2024.00133/BNC</t>
  </si>
  <si>
    <t>140104240133</t>
  </si>
  <si>
    <t>14.140104/2024.00134/BNC</t>
  </si>
  <si>
    <t>140104240134</t>
  </si>
  <si>
    <t>14.140104/2024.00135/BNC</t>
  </si>
  <si>
    <t>140104240135</t>
  </si>
  <si>
    <t>14.140104/2024.00136/BNC</t>
  </si>
  <si>
    <t>140104240136</t>
  </si>
  <si>
    <t>14.140104/2024.00137/BNC</t>
  </si>
  <si>
    <t>140104240137</t>
  </si>
  <si>
    <t>14.140104/2024.00138/BNC</t>
  </si>
  <si>
    <t>140104240138</t>
  </si>
  <si>
    <t>14.140104/2024.00139/BNC</t>
  </si>
  <si>
    <t>140104240139</t>
  </si>
  <si>
    <t>14.140104/2024.00140/BNC</t>
  </si>
  <si>
    <t>140104240140</t>
  </si>
  <si>
    <t>14.140104/2024.00141/BNC</t>
  </si>
  <si>
    <t>140104240141</t>
  </si>
  <si>
    <t>14.140104/2024.00142/BNC</t>
  </si>
  <si>
    <t>140104240142</t>
  </si>
  <si>
    <t>14.140104/2024.00143/BNC</t>
  </si>
  <si>
    <t>140104240143</t>
  </si>
  <si>
    <t>14.140104/2024.00144/BNC</t>
  </si>
  <si>
    <t>140104240144</t>
  </si>
  <si>
    <t>14.140104/2024.00145/BNC</t>
  </si>
  <si>
    <t>140104240145</t>
  </si>
  <si>
    <t>HGR 180</t>
  </si>
  <si>
    <t>UMF 01</t>
  </si>
  <si>
    <t>UMF 02</t>
  </si>
  <si>
    <t>UMF 13</t>
  </si>
  <si>
    <t>UMF 19</t>
  </si>
  <si>
    <t>UMF 34</t>
  </si>
  <si>
    <t>14.142408/2024.00021/BNC</t>
  </si>
  <si>
    <t>SILLA EJECUTIVA</t>
  </si>
  <si>
    <t>14.142408/2024.00022/BNC</t>
  </si>
  <si>
    <t>14.142408/2024.00023/BNC</t>
  </si>
  <si>
    <t>14.142408/2024.00024/BNC</t>
  </si>
  <si>
    <t>14.142408/2024.00025/BNC</t>
  </si>
  <si>
    <t>14.142408/2024.00026/BNC</t>
  </si>
  <si>
    <t>14.142408/2024.00027/BNC</t>
  </si>
  <si>
    <t>14.142408/2024.00028/BNC</t>
  </si>
  <si>
    <t>14.142408/2024.00029/BNC</t>
  </si>
  <si>
    <t>14.142408/2024.00030/BNC</t>
  </si>
  <si>
    <t>14.142408/2024.00031/BNC</t>
  </si>
  <si>
    <t>14.142408/2024.00032/BNC</t>
  </si>
  <si>
    <t>14.142408/2024.00033/BNC</t>
  </si>
  <si>
    <t>SILLA FIJA</t>
  </si>
  <si>
    <t>14.142408/2024.00034/BNC</t>
  </si>
  <si>
    <t>14.142408/2024.00035/BNC</t>
  </si>
  <si>
    <t>14.142408/2024.00036/BNC</t>
  </si>
  <si>
    <t>14.142408/2024.00037/BNC</t>
  </si>
  <si>
    <t>14.142408/2024.00038/BNC</t>
  </si>
  <si>
    <t>BASCULA PESA BEBE</t>
  </si>
  <si>
    <t>14.142408/2024.00039/BNC</t>
  </si>
  <si>
    <t>14.142408/2024.00040/BNC</t>
  </si>
  <si>
    <t>14.142408/2024.00041/BNC</t>
  </si>
  <si>
    <t>14.142408/2024.00042/BNC</t>
  </si>
  <si>
    <t>SILLON REPOSET</t>
  </si>
  <si>
    <t>UMF 48</t>
  </si>
  <si>
    <t>UMF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</si>
</sst>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6"/>
      <name val="Century Gothic"/>
      <family val="2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sz val="14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4" fontId="8" fillId="0" borderId="4" xfId="1" applyFont="1" applyBorder="1" applyAlignment="1">
      <alignment vertical="center" wrapText="1"/>
    </xf>
    <xf numFmtId="44" fontId="9" fillId="3" borderId="4" xfId="1" applyFont="1" applyFill="1" applyBorder="1" applyAlignment="1">
      <alignment vertical="center" wrapText="1"/>
    </xf>
    <xf numFmtId="164" fontId="10" fillId="0" borderId="9" xfId="0" applyNumberFormat="1" applyFont="1" applyBorder="1" applyAlignment="1">
      <alignment vertical="center"/>
    </xf>
    <xf numFmtId="1" fontId="10" fillId="2" borderId="1" xfId="0" applyNumberFormat="1" applyFont="1" applyFill="1" applyBorder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4" fillId="0" borderId="5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14" fontId="4" fillId="0" borderId="6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14" fontId="4" fillId="0" borderId="8" xfId="0" applyNumberFormat="1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4" fontId="4" fillId="0" borderId="3" xfId="0" applyNumberFormat="1" applyFont="1" applyBorder="1" applyAlignment="1">
      <alignment wrapText="1"/>
    </xf>
    <xf numFmtId="14" fontId="12" fillId="0" borderId="7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1" fontId="12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49" fontId="2" fillId="0" borderId="4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7" fillId="0" borderId="8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C318-5805-4C2A-8D1A-20F550482067}">
  <sheetPr>
    <pageSetUpPr fitToPage="1"/>
  </sheetPr>
  <dimension ref="A1:K793"/>
  <sheetViews>
    <sheetView tabSelected="1" workbookViewId="0">
      <selection activeCell="D4" sqref="D4"/>
    </sheetView>
  </sheetViews>
  <sheetFormatPr baseColWidth="10" defaultRowHeight="18.75" x14ac:dyDescent="0.3"/>
  <cols>
    <col min="1" max="1" width="9.5703125" style="2" customWidth="1"/>
    <col min="2" max="2" width="24" style="1" customWidth="1"/>
    <col min="3" max="3" width="20.5703125" style="1" customWidth="1"/>
    <col min="4" max="4" width="35.7109375" style="1" customWidth="1"/>
    <col min="5" max="5" width="28.5703125" style="3" customWidth="1"/>
    <col min="6" max="6" width="43.5703125" style="4" customWidth="1"/>
    <col min="7" max="7" width="33.140625" style="1" customWidth="1"/>
    <col min="8" max="8" width="14.85546875" style="1" customWidth="1"/>
    <col min="9" max="9" width="11" style="5" customWidth="1"/>
    <col min="10" max="10" width="43.5703125" style="1" customWidth="1"/>
    <col min="11" max="11" width="19.140625" style="1" bestFit="1" customWidth="1"/>
    <col min="12" max="254" width="11.42578125" style="1"/>
    <col min="255" max="255" width="9.5703125" style="1" customWidth="1"/>
    <col min="256" max="256" width="24.7109375" style="1" customWidth="1"/>
    <col min="257" max="257" width="10.42578125" style="1" customWidth="1"/>
    <col min="258" max="258" width="20.7109375" style="1" customWidth="1"/>
    <col min="259" max="259" width="35.7109375" style="1" customWidth="1"/>
    <col min="260" max="260" width="16.7109375" style="1" customWidth="1"/>
    <col min="261" max="261" width="43.5703125" style="1" customWidth="1"/>
    <col min="262" max="262" width="20.85546875" style="1" customWidth="1"/>
    <col min="263" max="263" width="10.42578125" style="1" customWidth="1"/>
    <col min="264" max="264" width="11" style="1" customWidth="1"/>
    <col min="265" max="265" width="15.5703125" style="1" customWidth="1"/>
    <col min="266" max="266" width="30.42578125" style="1" customWidth="1"/>
    <col min="267" max="267" width="17.140625" style="1" bestFit="1" customWidth="1"/>
    <col min="268" max="510" width="11.42578125" style="1"/>
    <col min="511" max="511" width="9.5703125" style="1" customWidth="1"/>
    <col min="512" max="512" width="24.7109375" style="1" customWidth="1"/>
    <col min="513" max="513" width="10.42578125" style="1" customWidth="1"/>
    <col min="514" max="514" width="20.7109375" style="1" customWidth="1"/>
    <col min="515" max="515" width="35.7109375" style="1" customWidth="1"/>
    <col min="516" max="516" width="16.7109375" style="1" customWidth="1"/>
    <col min="517" max="517" width="43.5703125" style="1" customWidth="1"/>
    <col min="518" max="518" width="20.85546875" style="1" customWidth="1"/>
    <col min="519" max="519" width="10.42578125" style="1" customWidth="1"/>
    <col min="520" max="520" width="11" style="1" customWidth="1"/>
    <col min="521" max="521" width="15.5703125" style="1" customWidth="1"/>
    <col min="522" max="522" width="30.42578125" style="1" customWidth="1"/>
    <col min="523" max="523" width="17.140625" style="1" bestFit="1" customWidth="1"/>
    <col min="524" max="766" width="11.42578125" style="1"/>
    <col min="767" max="767" width="9.5703125" style="1" customWidth="1"/>
    <col min="768" max="768" width="24.7109375" style="1" customWidth="1"/>
    <col min="769" max="769" width="10.42578125" style="1" customWidth="1"/>
    <col min="770" max="770" width="20.7109375" style="1" customWidth="1"/>
    <col min="771" max="771" width="35.7109375" style="1" customWidth="1"/>
    <col min="772" max="772" width="16.7109375" style="1" customWidth="1"/>
    <col min="773" max="773" width="43.5703125" style="1" customWidth="1"/>
    <col min="774" max="774" width="20.85546875" style="1" customWidth="1"/>
    <col min="775" max="775" width="10.42578125" style="1" customWidth="1"/>
    <col min="776" max="776" width="11" style="1" customWidth="1"/>
    <col min="777" max="777" width="15.5703125" style="1" customWidth="1"/>
    <col min="778" max="778" width="30.42578125" style="1" customWidth="1"/>
    <col min="779" max="779" width="17.140625" style="1" bestFit="1" customWidth="1"/>
    <col min="780" max="1022" width="11.42578125" style="1"/>
    <col min="1023" max="1023" width="9.5703125" style="1" customWidth="1"/>
    <col min="1024" max="1024" width="24.7109375" style="1" customWidth="1"/>
    <col min="1025" max="1025" width="10.42578125" style="1" customWidth="1"/>
    <col min="1026" max="1026" width="20.7109375" style="1" customWidth="1"/>
    <col min="1027" max="1027" width="35.7109375" style="1" customWidth="1"/>
    <col min="1028" max="1028" width="16.7109375" style="1" customWidth="1"/>
    <col min="1029" max="1029" width="43.5703125" style="1" customWidth="1"/>
    <col min="1030" max="1030" width="20.85546875" style="1" customWidth="1"/>
    <col min="1031" max="1031" width="10.42578125" style="1" customWidth="1"/>
    <col min="1032" max="1032" width="11" style="1" customWidth="1"/>
    <col min="1033" max="1033" width="15.5703125" style="1" customWidth="1"/>
    <col min="1034" max="1034" width="30.42578125" style="1" customWidth="1"/>
    <col min="1035" max="1035" width="17.140625" style="1" bestFit="1" customWidth="1"/>
    <col min="1036" max="1278" width="11.42578125" style="1"/>
    <col min="1279" max="1279" width="9.5703125" style="1" customWidth="1"/>
    <col min="1280" max="1280" width="24.7109375" style="1" customWidth="1"/>
    <col min="1281" max="1281" width="10.42578125" style="1" customWidth="1"/>
    <col min="1282" max="1282" width="20.7109375" style="1" customWidth="1"/>
    <col min="1283" max="1283" width="35.7109375" style="1" customWidth="1"/>
    <col min="1284" max="1284" width="16.7109375" style="1" customWidth="1"/>
    <col min="1285" max="1285" width="43.5703125" style="1" customWidth="1"/>
    <col min="1286" max="1286" width="20.85546875" style="1" customWidth="1"/>
    <col min="1287" max="1287" width="10.42578125" style="1" customWidth="1"/>
    <col min="1288" max="1288" width="11" style="1" customWidth="1"/>
    <col min="1289" max="1289" width="15.5703125" style="1" customWidth="1"/>
    <col min="1290" max="1290" width="30.42578125" style="1" customWidth="1"/>
    <col min="1291" max="1291" width="17.140625" style="1" bestFit="1" customWidth="1"/>
    <col min="1292" max="1534" width="11.42578125" style="1"/>
    <col min="1535" max="1535" width="9.5703125" style="1" customWidth="1"/>
    <col min="1536" max="1536" width="24.7109375" style="1" customWidth="1"/>
    <col min="1537" max="1537" width="10.42578125" style="1" customWidth="1"/>
    <col min="1538" max="1538" width="20.7109375" style="1" customWidth="1"/>
    <col min="1539" max="1539" width="35.7109375" style="1" customWidth="1"/>
    <col min="1540" max="1540" width="16.7109375" style="1" customWidth="1"/>
    <col min="1541" max="1541" width="43.5703125" style="1" customWidth="1"/>
    <col min="1542" max="1542" width="20.85546875" style="1" customWidth="1"/>
    <col min="1543" max="1543" width="10.42578125" style="1" customWidth="1"/>
    <col min="1544" max="1544" width="11" style="1" customWidth="1"/>
    <col min="1545" max="1545" width="15.5703125" style="1" customWidth="1"/>
    <col min="1546" max="1546" width="30.42578125" style="1" customWidth="1"/>
    <col min="1547" max="1547" width="17.140625" style="1" bestFit="1" customWidth="1"/>
    <col min="1548" max="1790" width="11.42578125" style="1"/>
    <col min="1791" max="1791" width="9.5703125" style="1" customWidth="1"/>
    <col min="1792" max="1792" width="24.7109375" style="1" customWidth="1"/>
    <col min="1793" max="1793" width="10.42578125" style="1" customWidth="1"/>
    <col min="1794" max="1794" width="20.7109375" style="1" customWidth="1"/>
    <col min="1795" max="1795" width="35.7109375" style="1" customWidth="1"/>
    <col min="1796" max="1796" width="16.7109375" style="1" customWidth="1"/>
    <col min="1797" max="1797" width="43.5703125" style="1" customWidth="1"/>
    <col min="1798" max="1798" width="20.85546875" style="1" customWidth="1"/>
    <col min="1799" max="1799" width="10.42578125" style="1" customWidth="1"/>
    <col min="1800" max="1800" width="11" style="1" customWidth="1"/>
    <col min="1801" max="1801" width="15.5703125" style="1" customWidth="1"/>
    <col min="1802" max="1802" width="30.42578125" style="1" customWidth="1"/>
    <col min="1803" max="1803" width="17.140625" style="1" bestFit="1" customWidth="1"/>
    <col min="1804" max="2046" width="11.42578125" style="1"/>
    <col min="2047" max="2047" width="9.5703125" style="1" customWidth="1"/>
    <col min="2048" max="2048" width="24.7109375" style="1" customWidth="1"/>
    <col min="2049" max="2049" width="10.42578125" style="1" customWidth="1"/>
    <col min="2050" max="2050" width="20.7109375" style="1" customWidth="1"/>
    <col min="2051" max="2051" width="35.7109375" style="1" customWidth="1"/>
    <col min="2052" max="2052" width="16.7109375" style="1" customWidth="1"/>
    <col min="2053" max="2053" width="43.5703125" style="1" customWidth="1"/>
    <col min="2054" max="2054" width="20.85546875" style="1" customWidth="1"/>
    <col min="2055" max="2055" width="10.42578125" style="1" customWidth="1"/>
    <col min="2056" max="2056" width="11" style="1" customWidth="1"/>
    <col min="2057" max="2057" width="15.5703125" style="1" customWidth="1"/>
    <col min="2058" max="2058" width="30.42578125" style="1" customWidth="1"/>
    <col min="2059" max="2059" width="17.140625" style="1" bestFit="1" customWidth="1"/>
    <col min="2060" max="2302" width="11.42578125" style="1"/>
    <col min="2303" max="2303" width="9.5703125" style="1" customWidth="1"/>
    <col min="2304" max="2304" width="24.7109375" style="1" customWidth="1"/>
    <col min="2305" max="2305" width="10.42578125" style="1" customWidth="1"/>
    <col min="2306" max="2306" width="20.7109375" style="1" customWidth="1"/>
    <col min="2307" max="2307" width="35.7109375" style="1" customWidth="1"/>
    <col min="2308" max="2308" width="16.7109375" style="1" customWidth="1"/>
    <col min="2309" max="2309" width="43.5703125" style="1" customWidth="1"/>
    <col min="2310" max="2310" width="20.85546875" style="1" customWidth="1"/>
    <col min="2311" max="2311" width="10.42578125" style="1" customWidth="1"/>
    <col min="2312" max="2312" width="11" style="1" customWidth="1"/>
    <col min="2313" max="2313" width="15.5703125" style="1" customWidth="1"/>
    <col min="2314" max="2314" width="30.42578125" style="1" customWidth="1"/>
    <col min="2315" max="2315" width="17.140625" style="1" bestFit="1" customWidth="1"/>
    <col min="2316" max="2558" width="11.42578125" style="1"/>
    <col min="2559" max="2559" width="9.5703125" style="1" customWidth="1"/>
    <col min="2560" max="2560" width="24.7109375" style="1" customWidth="1"/>
    <col min="2561" max="2561" width="10.42578125" style="1" customWidth="1"/>
    <col min="2562" max="2562" width="20.7109375" style="1" customWidth="1"/>
    <col min="2563" max="2563" width="35.7109375" style="1" customWidth="1"/>
    <col min="2564" max="2564" width="16.7109375" style="1" customWidth="1"/>
    <col min="2565" max="2565" width="43.5703125" style="1" customWidth="1"/>
    <col min="2566" max="2566" width="20.85546875" style="1" customWidth="1"/>
    <col min="2567" max="2567" width="10.42578125" style="1" customWidth="1"/>
    <col min="2568" max="2568" width="11" style="1" customWidth="1"/>
    <col min="2569" max="2569" width="15.5703125" style="1" customWidth="1"/>
    <col min="2570" max="2570" width="30.42578125" style="1" customWidth="1"/>
    <col min="2571" max="2571" width="17.140625" style="1" bestFit="1" customWidth="1"/>
    <col min="2572" max="2814" width="11.42578125" style="1"/>
    <col min="2815" max="2815" width="9.5703125" style="1" customWidth="1"/>
    <col min="2816" max="2816" width="24.7109375" style="1" customWidth="1"/>
    <col min="2817" max="2817" width="10.42578125" style="1" customWidth="1"/>
    <col min="2818" max="2818" width="20.7109375" style="1" customWidth="1"/>
    <col min="2819" max="2819" width="35.7109375" style="1" customWidth="1"/>
    <col min="2820" max="2820" width="16.7109375" style="1" customWidth="1"/>
    <col min="2821" max="2821" width="43.5703125" style="1" customWidth="1"/>
    <col min="2822" max="2822" width="20.85546875" style="1" customWidth="1"/>
    <col min="2823" max="2823" width="10.42578125" style="1" customWidth="1"/>
    <col min="2824" max="2824" width="11" style="1" customWidth="1"/>
    <col min="2825" max="2825" width="15.5703125" style="1" customWidth="1"/>
    <col min="2826" max="2826" width="30.42578125" style="1" customWidth="1"/>
    <col min="2827" max="2827" width="17.140625" style="1" bestFit="1" customWidth="1"/>
    <col min="2828" max="3070" width="11.42578125" style="1"/>
    <col min="3071" max="3071" width="9.5703125" style="1" customWidth="1"/>
    <col min="3072" max="3072" width="24.7109375" style="1" customWidth="1"/>
    <col min="3073" max="3073" width="10.42578125" style="1" customWidth="1"/>
    <col min="3074" max="3074" width="20.7109375" style="1" customWidth="1"/>
    <col min="3075" max="3075" width="35.7109375" style="1" customWidth="1"/>
    <col min="3076" max="3076" width="16.7109375" style="1" customWidth="1"/>
    <col min="3077" max="3077" width="43.5703125" style="1" customWidth="1"/>
    <col min="3078" max="3078" width="20.85546875" style="1" customWidth="1"/>
    <col min="3079" max="3079" width="10.42578125" style="1" customWidth="1"/>
    <col min="3080" max="3080" width="11" style="1" customWidth="1"/>
    <col min="3081" max="3081" width="15.5703125" style="1" customWidth="1"/>
    <col min="3082" max="3082" width="30.42578125" style="1" customWidth="1"/>
    <col min="3083" max="3083" width="17.140625" style="1" bestFit="1" customWidth="1"/>
    <col min="3084" max="3326" width="11.42578125" style="1"/>
    <col min="3327" max="3327" width="9.5703125" style="1" customWidth="1"/>
    <col min="3328" max="3328" width="24.7109375" style="1" customWidth="1"/>
    <col min="3329" max="3329" width="10.42578125" style="1" customWidth="1"/>
    <col min="3330" max="3330" width="20.7109375" style="1" customWidth="1"/>
    <col min="3331" max="3331" width="35.7109375" style="1" customWidth="1"/>
    <col min="3332" max="3332" width="16.7109375" style="1" customWidth="1"/>
    <col min="3333" max="3333" width="43.5703125" style="1" customWidth="1"/>
    <col min="3334" max="3334" width="20.85546875" style="1" customWidth="1"/>
    <col min="3335" max="3335" width="10.42578125" style="1" customWidth="1"/>
    <col min="3336" max="3336" width="11" style="1" customWidth="1"/>
    <col min="3337" max="3337" width="15.5703125" style="1" customWidth="1"/>
    <col min="3338" max="3338" width="30.42578125" style="1" customWidth="1"/>
    <col min="3339" max="3339" width="17.140625" style="1" bestFit="1" customWidth="1"/>
    <col min="3340" max="3582" width="11.42578125" style="1"/>
    <col min="3583" max="3583" width="9.5703125" style="1" customWidth="1"/>
    <col min="3584" max="3584" width="24.7109375" style="1" customWidth="1"/>
    <col min="3585" max="3585" width="10.42578125" style="1" customWidth="1"/>
    <col min="3586" max="3586" width="20.7109375" style="1" customWidth="1"/>
    <col min="3587" max="3587" width="35.7109375" style="1" customWidth="1"/>
    <col min="3588" max="3588" width="16.7109375" style="1" customWidth="1"/>
    <col min="3589" max="3589" width="43.5703125" style="1" customWidth="1"/>
    <col min="3590" max="3590" width="20.85546875" style="1" customWidth="1"/>
    <col min="3591" max="3591" width="10.42578125" style="1" customWidth="1"/>
    <col min="3592" max="3592" width="11" style="1" customWidth="1"/>
    <col min="3593" max="3593" width="15.5703125" style="1" customWidth="1"/>
    <col min="3594" max="3594" width="30.42578125" style="1" customWidth="1"/>
    <col min="3595" max="3595" width="17.140625" style="1" bestFit="1" customWidth="1"/>
    <col min="3596" max="3838" width="11.42578125" style="1"/>
    <col min="3839" max="3839" width="9.5703125" style="1" customWidth="1"/>
    <col min="3840" max="3840" width="24.7109375" style="1" customWidth="1"/>
    <col min="3841" max="3841" width="10.42578125" style="1" customWidth="1"/>
    <col min="3842" max="3842" width="20.7109375" style="1" customWidth="1"/>
    <col min="3843" max="3843" width="35.7109375" style="1" customWidth="1"/>
    <col min="3844" max="3844" width="16.7109375" style="1" customWidth="1"/>
    <col min="3845" max="3845" width="43.5703125" style="1" customWidth="1"/>
    <col min="3846" max="3846" width="20.85546875" style="1" customWidth="1"/>
    <col min="3847" max="3847" width="10.42578125" style="1" customWidth="1"/>
    <col min="3848" max="3848" width="11" style="1" customWidth="1"/>
    <col min="3849" max="3849" width="15.5703125" style="1" customWidth="1"/>
    <col min="3850" max="3850" width="30.42578125" style="1" customWidth="1"/>
    <col min="3851" max="3851" width="17.140625" style="1" bestFit="1" customWidth="1"/>
    <col min="3852" max="4094" width="11.42578125" style="1"/>
    <col min="4095" max="4095" width="9.5703125" style="1" customWidth="1"/>
    <col min="4096" max="4096" width="24.7109375" style="1" customWidth="1"/>
    <col min="4097" max="4097" width="10.42578125" style="1" customWidth="1"/>
    <col min="4098" max="4098" width="20.7109375" style="1" customWidth="1"/>
    <col min="4099" max="4099" width="35.7109375" style="1" customWidth="1"/>
    <col min="4100" max="4100" width="16.7109375" style="1" customWidth="1"/>
    <col min="4101" max="4101" width="43.5703125" style="1" customWidth="1"/>
    <col min="4102" max="4102" width="20.85546875" style="1" customWidth="1"/>
    <col min="4103" max="4103" width="10.42578125" style="1" customWidth="1"/>
    <col min="4104" max="4104" width="11" style="1" customWidth="1"/>
    <col min="4105" max="4105" width="15.5703125" style="1" customWidth="1"/>
    <col min="4106" max="4106" width="30.42578125" style="1" customWidth="1"/>
    <col min="4107" max="4107" width="17.140625" style="1" bestFit="1" customWidth="1"/>
    <col min="4108" max="4350" width="11.42578125" style="1"/>
    <col min="4351" max="4351" width="9.5703125" style="1" customWidth="1"/>
    <col min="4352" max="4352" width="24.7109375" style="1" customWidth="1"/>
    <col min="4353" max="4353" width="10.42578125" style="1" customWidth="1"/>
    <col min="4354" max="4354" width="20.7109375" style="1" customWidth="1"/>
    <col min="4355" max="4355" width="35.7109375" style="1" customWidth="1"/>
    <col min="4356" max="4356" width="16.7109375" style="1" customWidth="1"/>
    <col min="4357" max="4357" width="43.5703125" style="1" customWidth="1"/>
    <col min="4358" max="4358" width="20.85546875" style="1" customWidth="1"/>
    <col min="4359" max="4359" width="10.42578125" style="1" customWidth="1"/>
    <col min="4360" max="4360" width="11" style="1" customWidth="1"/>
    <col min="4361" max="4361" width="15.5703125" style="1" customWidth="1"/>
    <col min="4362" max="4362" width="30.42578125" style="1" customWidth="1"/>
    <col min="4363" max="4363" width="17.140625" style="1" bestFit="1" customWidth="1"/>
    <col min="4364" max="4606" width="11.42578125" style="1"/>
    <col min="4607" max="4607" width="9.5703125" style="1" customWidth="1"/>
    <col min="4608" max="4608" width="24.7109375" style="1" customWidth="1"/>
    <col min="4609" max="4609" width="10.42578125" style="1" customWidth="1"/>
    <col min="4610" max="4610" width="20.7109375" style="1" customWidth="1"/>
    <col min="4611" max="4611" width="35.7109375" style="1" customWidth="1"/>
    <col min="4612" max="4612" width="16.7109375" style="1" customWidth="1"/>
    <col min="4613" max="4613" width="43.5703125" style="1" customWidth="1"/>
    <col min="4614" max="4614" width="20.85546875" style="1" customWidth="1"/>
    <col min="4615" max="4615" width="10.42578125" style="1" customWidth="1"/>
    <col min="4616" max="4616" width="11" style="1" customWidth="1"/>
    <col min="4617" max="4617" width="15.5703125" style="1" customWidth="1"/>
    <col min="4618" max="4618" width="30.42578125" style="1" customWidth="1"/>
    <col min="4619" max="4619" width="17.140625" style="1" bestFit="1" customWidth="1"/>
    <col min="4620" max="4862" width="11.42578125" style="1"/>
    <col min="4863" max="4863" width="9.5703125" style="1" customWidth="1"/>
    <col min="4864" max="4864" width="24.7109375" style="1" customWidth="1"/>
    <col min="4865" max="4865" width="10.42578125" style="1" customWidth="1"/>
    <col min="4866" max="4866" width="20.7109375" style="1" customWidth="1"/>
    <col min="4867" max="4867" width="35.7109375" style="1" customWidth="1"/>
    <col min="4868" max="4868" width="16.7109375" style="1" customWidth="1"/>
    <col min="4869" max="4869" width="43.5703125" style="1" customWidth="1"/>
    <col min="4870" max="4870" width="20.85546875" style="1" customWidth="1"/>
    <col min="4871" max="4871" width="10.42578125" style="1" customWidth="1"/>
    <col min="4872" max="4872" width="11" style="1" customWidth="1"/>
    <col min="4873" max="4873" width="15.5703125" style="1" customWidth="1"/>
    <col min="4874" max="4874" width="30.42578125" style="1" customWidth="1"/>
    <col min="4875" max="4875" width="17.140625" style="1" bestFit="1" customWidth="1"/>
    <col min="4876" max="5118" width="11.42578125" style="1"/>
    <col min="5119" max="5119" width="9.5703125" style="1" customWidth="1"/>
    <col min="5120" max="5120" width="24.7109375" style="1" customWidth="1"/>
    <col min="5121" max="5121" width="10.42578125" style="1" customWidth="1"/>
    <col min="5122" max="5122" width="20.7109375" style="1" customWidth="1"/>
    <col min="5123" max="5123" width="35.7109375" style="1" customWidth="1"/>
    <col min="5124" max="5124" width="16.7109375" style="1" customWidth="1"/>
    <col min="5125" max="5125" width="43.5703125" style="1" customWidth="1"/>
    <col min="5126" max="5126" width="20.85546875" style="1" customWidth="1"/>
    <col min="5127" max="5127" width="10.42578125" style="1" customWidth="1"/>
    <col min="5128" max="5128" width="11" style="1" customWidth="1"/>
    <col min="5129" max="5129" width="15.5703125" style="1" customWidth="1"/>
    <col min="5130" max="5130" width="30.42578125" style="1" customWidth="1"/>
    <col min="5131" max="5131" width="17.140625" style="1" bestFit="1" customWidth="1"/>
    <col min="5132" max="5374" width="11.42578125" style="1"/>
    <col min="5375" max="5375" width="9.5703125" style="1" customWidth="1"/>
    <col min="5376" max="5376" width="24.7109375" style="1" customWidth="1"/>
    <col min="5377" max="5377" width="10.42578125" style="1" customWidth="1"/>
    <col min="5378" max="5378" width="20.7109375" style="1" customWidth="1"/>
    <col min="5379" max="5379" width="35.7109375" style="1" customWidth="1"/>
    <col min="5380" max="5380" width="16.7109375" style="1" customWidth="1"/>
    <col min="5381" max="5381" width="43.5703125" style="1" customWidth="1"/>
    <col min="5382" max="5382" width="20.85546875" style="1" customWidth="1"/>
    <col min="5383" max="5383" width="10.42578125" style="1" customWidth="1"/>
    <col min="5384" max="5384" width="11" style="1" customWidth="1"/>
    <col min="5385" max="5385" width="15.5703125" style="1" customWidth="1"/>
    <col min="5386" max="5386" width="30.42578125" style="1" customWidth="1"/>
    <col min="5387" max="5387" width="17.140625" style="1" bestFit="1" customWidth="1"/>
    <col min="5388" max="5630" width="11.42578125" style="1"/>
    <col min="5631" max="5631" width="9.5703125" style="1" customWidth="1"/>
    <col min="5632" max="5632" width="24.7109375" style="1" customWidth="1"/>
    <col min="5633" max="5633" width="10.42578125" style="1" customWidth="1"/>
    <col min="5634" max="5634" width="20.7109375" style="1" customWidth="1"/>
    <col min="5635" max="5635" width="35.7109375" style="1" customWidth="1"/>
    <col min="5636" max="5636" width="16.7109375" style="1" customWidth="1"/>
    <col min="5637" max="5637" width="43.5703125" style="1" customWidth="1"/>
    <col min="5638" max="5638" width="20.85546875" style="1" customWidth="1"/>
    <col min="5639" max="5639" width="10.42578125" style="1" customWidth="1"/>
    <col min="5640" max="5640" width="11" style="1" customWidth="1"/>
    <col min="5641" max="5641" width="15.5703125" style="1" customWidth="1"/>
    <col min="5642" max="5642" width="30.42578125" style="1" customWidth="1"/>
    <col min="5643" max="5643" width="17.140625" style="1" bestFit="1" customWidth="1"/>
    <col min="5644" max="5886" width="11.42578125" style="1"/>
    <col min="5887" max="5887" width="9.5703125" style="1" customWidth="1"/>
    <col min="5888" max="5888" width="24.7109375" style="1" customWidth="1"/>
    <col min="5889" max="5889" width="10.42578125" style="1" customWidth="1"/>
    <col min="5890" max="5890" width="20.7109375" style="1" customWidth="1"/>
    <col min="5891" max="5891" width="35.7109375" style="1" customWidth="1"/>
    <col min="5892" max="5892" width="16.7109375" style="1" customWidth="1"/>
    <col min="5893" max="5893" width="43.5703125" style="1" customWidth="1"/>
    <col min="5894" max="5894" width="20.85546875" style="1" customWidth="1"/>
    <col min="5895" max="5895" width="10.42578125" style="1" customWidth="1"/>
    <col min="5896" max="5896" width="11" style="1" customWidth="1"/>
    <col min="5897" max="5897" width="15.5703125" style="1" customWidth="1"/>
    <col min="5898" max="5898" width="30.42578125" style="1" customWidth="1"/>
    <col min="5899" max="5899" width="17.140625" style="1" bestFit="1" customWidth="1"/>
    <col min="5900" max="6142" width="11.42578125" style="1"/>
    <col min="6143" max="6143" width="9.5703125" style="1" customWidth="1"/>
    <col min="6144" max="6144" width="24.7109375" style="1" customWidth="1"/>
    <col min="6145" max="6145" width="10.42578125" style="1" customWidth="1"/>
    <col min="6146" max="6146" width="20.7109375" style="1" customWidth="1"/>
    <col min="6147" max="6147" width="35.7109375" style="1" customWidth="1"/>
    <col min="6148" max="6148" width="16.7109375" style="1" customWidth="1"/>
    <col min="6149" max="6149" width="43.5703125" style="1" customWidth="1"/>
    <col min="6150" max="6150" width="20.85546875" style="1" customWidth="1"/>
    <col min="6151" max="6151" width="10.42578125" style="1" customWidth="1"/>
    <col min="6152" max="6152" width="11" style="1" customWidth="1"/>
    <col min="6153" max="6153" width="15.5703125" style="1" customWidth="1"/>
    <col min="6154" max="6154" width="30.42578125" style="1" customWidth="1"/>
    <col min="6155" max="6155" width="17.140625" style="1" bestFit="1" customWidth="1"/>
    <col min="6156" max="6398" width="11.42578125" style="1"/>
    <col min="6399" max="6399" width="9.5703125" style="1" customWidth="1"/>
    <col min="6400" max="6400" width="24.7109375" style="1" customWidth="1"/>
    <col min="6401" max="6401" width="10.42578125" style="1" customWidth="1"/>
    <col min="6402" max="6402" width="20.7109375" style="1" customWidth="1"/>
    <col min="6403" max="6403" width="35.7109375" style="1" customWidth="1"/>
    <col min="6404" max="6404" width="16.7109375" style="1" customWidth="1"/>
    <col min="6405" max="6405" width="43.5703125" style="1" customWidth="1"/>
    <col min="6406" max="6406" width="20.85546875" style="1" customWidth="1"/>
    <col min="6407" max="6407" width="10.42578125" style="1" customWidth="1"/>
    <col min="6408" max="6408" width="11" style="1" customWidth="1"/>
    <col min="6409" max="6409" width="15.5703125" style="1" customWidth="1"/>
    <col min="6410" max="6410" width="30.42578125" style="1" customWidth="1"/>
    <col min="6411" max="6411" width="17.140625" style="1" bestFit="1" customWidth="1"/>
    <col min="6412" max="6654" width="11.42578125" style="1"/>
    <col min="6655" max="6655" width="9.5703125" style="1" customWidth="1"/>
    <col min="6656" max="6656" width="24.7109375" style="1" customWidth="1"/>
    <col min="6657" max="6657" width="10.42578125" style="1" customWidth="1"/>
    <col min="6658" max="6658" width="20.7109375" style="1" customWidth="1"/>
    <col min="6659" max="6659" width="35.7109375" style="1" customWidth="1"/>
    <col min="6660" max="6660" width="16.7109375" style="1" customWidth="1"/>
    <col min="6661" max="6661" width="43.5703125" style="1" customWidth="1"/>
    <col min="6662" max="6662" width="20.85546875" style="1" customWidth="1"/>
    <col min="6663" max="6663" width="10.42578125" style="1" customWidth="1"/>
    <col min="6664" max="6664" width="11" style="1" customWidth="1"/>
    <col min="6665" max="6665" width="15.5703125" style="1" customWidth="1"/>
    <col min="6666" max="6666" width="30.42578125" style="1" customWidth="1"/>
    <col min="6667" max="6667" width="17.140625" style="1" bestFit="1" customWidth="1"/>
    <col min="6668" max="6910" width="11.42578125" style="1"/>
    <col min="6911" max="6911" width="9.5703125" style="1" customWidth="1"/>
    <col min="6912" max="6912" width="24.7109375" style="1" customWidth="1"/>
    <col min="6913" max="6913" width="10.42578125" style="1" customWidth="1"/>
    <col min="6914" max="6914" width="20.7109375" style="1" customWidth="1"/>
    <col min="6915" max="6915" width="35.7109375" style="1" customWidth="1"/>
    <col min="6916" max="6916" width="16.7109375" style="1" customWidth="1"/>
    <col min="6917" max="6917" width="43.5703125" style="1" customWidth="1"/>
    <col min="6918" max="6918" width="20.85546875" style="1" customWidth="1"/>
    <col min="6919" max="6919" width="10.42578125" style="1" customWidth="1"/>
    <col min="6920" max="6920" width="11" style="1" customWidth="1"/>
    <col min="6921" max="6921" width="15.5703125" style="1" customWidth="1"/>
    <col min="6922" max="6922" width="30.42578125" style="1" customWidth="1"/>
    <col min="6923" max="6923" width="17.140625" style="1" bestFit="1" customWidth="1"/>
    <col min="6924" max="7166" width="11.42578125" style="1"/>
    <col min="7167" max="7167" width="9.5703125" style="1" customWidth="1"/>
    <col min="7168" max="7168" width="24.7109375" style="1" customWidth="1"/>
    <col min="7169" max="7169" width="10.42578125" style="1" customWidth="1"/>
    <col min="7170" max="7170" width="20.7109375" style="1" customWidth="1"/>
    <col min="7171" max="7171" width="35.7109375" style="1" customWidth="1"/>
    <col min="7172" max="7172" width="16.7109375" style="1" customWidth="1"/>
    <col min="7173" max="7173" width="43.5703125" style="1" customWidth="1"/>
    <col min="7174" max="7174" width="20.85546875" style="1" customWidth="1"/>
    <col min="7175" max="7175" width="10.42578125" style="1" customWidth="1"/>
    <col min="7176" max="7176" width="11" style="1" customWidth="1"/>
    <col min="7177" max="7177" width="15.5703125" style="1" customWidth="1"/>
    <col min="7178" max="7178" width="30.42578125" style="1" customWidth="1"/>
    <col min="7179" max="7179" width="17.140625" style="1" bestFit="1" customWidth="1"/>
    <col min="7180" max="7422" width="11.42578125" style="1"/>
    <col min="7423" max="7423" width="9.5703125" style="1" customWidth="1"/>
    <col min="7424" max="7424" width="24.7109375" style="1" customWidth="1"/>
    <col min="7425" max="7425" width="10.42578125" style="1" customWidth="1"/>
    <col min="7426" max="7426" width="20.7109375" style="1" customWidth="1"/>
    <col min="7427" max="7427" width="35.7109375" style="1" customWidth="1"/>
    <col min="7428" max="7428" width="16.7109375" style="1" customWidth="1"/>
    <col min="7429" max="7429" width="43.5703125" style="1" customWidth="1"/>
    <col min="7430" max="7430" width="20.85546875" style="1" customWidth="1"/>
    <col min="7431" max="7431" width="10.42578125" style="1" customWidth="1"/>
    <col min="7432" max="7432" width="11" style="1" customWidth="1"/>
    <col min="7433" max="7433" width="15.5703125" style="1" customWidth="1"/>
    <col min="7434" max="7434" width="30.42578125" style="1" customWidth="1"/>
    <col min="7435" max="7435" width="17.140625" style="1" bestFit="1" customWidth="1"/>
    <col min="7436" max="7678" width="11.42578125" style="1"/>
    <col min="7679" max="7679" width="9.5703125" style="1" customWidth="1"/>
    <col min="7680" max="7680" width="24.7109375" style="1" customWidth="1"/>
    <col min="7681" max="7681" width="10.42578125" style="1" customWidth="1"/>
    <col min="7682" max="7682" width="20.7109375" style="1" customWidth="1"/>
    <col min="7683" max="7683" width="35.7109375" style="1" customWidth="1"/>
    <col min="7684" max="7684" width="16.7109375" style="1" customWidth="1"/>
    <col min="7685" max="7685" width="43.5703125" style="1" customWidth="1"/>
    <col min="7686" max="7686" width="20.85546875" style="1" customWidth="1"/>
    <col min="7687" max="7687" width="10.42578125" style="1" customWidth="1"/>
    <col min="7688" max="7688" width="11" style="1" customWidth="1"/>
    <col min="7689" max="7689" width="15.5703125" style="1" customWidth="1"/>
    <col min="7690" max="7690" width="30.42578125" style="1" customWidth="1"/>
    <col min="7691" max="7691" width="17.140625" style="1" bestFit="1" customWidth="1"/>
    <col min="7692" max="7934" width="11.42578125" style="1"/>
    <col min="7935" max="7935" width="9.5703125" style="1" customWidth="1"/>
    <col min="7936" max="7936" width="24.7109375" style="1" customWidth="1"/>
    <col min="7937" max="7937" width="10.42578125" style="1" customWidth="1"/>
    <col min="7938" max="7938" width="20.7109375" style="1" customWidth="1"/>
    <col min="7939" max="7939" width="35.7109375" style="1" customWidth="1"/>
    <col min="7940" max="7940" width="16.7109375" style="1" customWidth="1"/>
    <col min="7941" max="7941" width="43.5703125" style="1" customWidth="1"/>
    <col min="7942" max="7942" width="20.85546875" style="1" customWidth="1"/>
    <col min="7943" max="7943" width="10.42578125" style="1" customWidth="1"/>
    <col min="7944" max="7944" width="11" style="1" customWidth="1"/>
    <col min="7945" max="7945" width="15.5703125" style="1" customWidth="1"/>
    <col min="7946" max="7946" width="30.42578125" style="1" customWidth="1"/>
    <col min="7947" max="7947" width="17.140625" style="1" bestFit="1" customWidth="1"/>
    <col min="7948" max="8190" width="11.42578125" style="1"/>
    <col min="8191" max="8191" width="9.5703125" style="1" customWidth="1"/>
    <col min="8192" max="8192" width="24.7109375" style="1" customWidth="1"/>
    <col min="8193" max="8193" width="10.42578125" style="1" customWidth="1"/>
    <col min="8194" max="8194" width="20.7109375" style="1" customWidth="1"/>
    <col min="8195" max="8195" width="35.7109375" style="1" customWidth="1"/>
    <col min="8196" max="8196" width="16.7109375" style="1" customWidth="1"/>
    <col min="8197" max="8197" width="43.5703125" style="1" customWidth="1"/>
    <col min="8198" max="8198" width="20.85546875" style="1" customWidth="1"/>
    <col min="8199" max="8199" width="10.42578125" style="1" customWidth="1"/>
    <col min="8200" max="8200" width="11" style="1" customWidth="1"/>
    <col min="8201" max="8201" width="15.5703125" style="1" customWidth="1"/>
    <col min="8202" max="8202" width="30.42578125" style="1" customWidth="1"/>
    <col min="8203" max="8203" width="17.140625" style="1" bestFit="1" customWidth="1"/>
    <col min="8204" max="8446" width="11.42578125" style="1"/>
    <col min="8447" max="8447" width="9.5703125" style="1" customWidth="1"/>
    <col min="8448" max="8448" width="24.7109375" style="1" customWidth="1"/>
    <col min="8449" max="8449" width="10.42578125" style="1" customWidth="1"/>
    <col min="8450" max="8450" width="20.7109375" style="1" customWidth="1"/>
    <col min="8451" max="8451" width="35.7109375" style="1" customWidth="1"/>
    <col min="8452" max="8452" width="16.7109375" style="1" customWidth="1"/>
    <col min="8453" max="8453" width="43.5703125" style="1" customWidth="1"/>
    <col min="8454" max="8454" width="20.85546875" style="1" customWidth="1"/>
    <col min="8455" max="8455" width="10.42578125" style="1" customWidth="1"/>
    <col min="8456" max="8456" width="11" style="1" customWidth="1"/>
    <col min="8457" max="8457" width="15.5703125" style="1" customWidth="1"/>
    <col min="8458" max="8458" width="30.42578125" style="1" customWidth="1"/>
    <col min="8459" max="8459" width="17.140625" style="1" bestFit="1" customWidth="1"/>
    <col min="8460" max="8702" width="11.42578125" style="1"/>
    <col min="8703" max="8703" width="9.5703125" style="1" customWidth="1"/>
    <col min="8704" max="8704" width="24.7109375" style="1" customWidth="1"/>
    <col min="8705" max="8705" width="10.42578125" style="1" customWidth="1"/>
    <col min="8706" max="8706" width="20.7109375" style="1" customWidth="1"/>
    <col min="8707" max="8707" width="35.7109375" style="1" customWidth="1"/>
    <col min="8708" max="8708" width="16.7109375" style="1" customWidth="1"/>
    <col min="8709" max="8709" width="43.5703125" style="1" customWidth="1"/>
    <col min="8710" max="8710" width="20.85546875" style="1" customWidth="1"/>
    <col min="8711" max="8711" width="10.42578125" style="1" customWidth="1"/>
    <col min="8712" max="8712" width="11" style="1" customWidth="1"/>
    <col min="8713" max="8713" width="15.5703125" style="1" customWidth="1"/>
    <col min="8714" max="8714" width="30.42578125" style="1" customWidth="1"/>
    <col min="8715" max="8715" width="17.140625" style="1" bestFit="1" customWidth="1"/>
    <col min="8716" max="8958" width="11.42578125" style="1"/>
    <col min="8959" max="8959" width="9.5703125" style="1" customWidth="1"/>
    <col min="8960" max="8960" width="24.7109375" style="1" customWidth="1"/>
    <col min="8961" max="8961" width="10.42578125" style="1" customWidth="1"/>
    <col min="8962" max="8962" width="20.7109375" style="1" customWidth="1"/>
    <col min="8963" max="8963" width="35.7109375" style="1" customWidth="1"/>
    <col min="8964" max="8964" width="16.7109375" style="1" customWidth="1"/>
    <col min="8965" max="8965" width="43.5703125" style="1" customWidth="1"/>
    <col min="8966" max="8966" width="20.85546875" style="1" customWidth="1"/>
    <col min="8967" max="8967" width="10.42578125" style="1" customWidth="1"/>
    <col min="8968" max="8968" width="11" style="1" customWidth="1"/>
    <col min="8969" max="8969" width="15.5703125" style="1" customWidth="1"/>
    <col min="8970" max="8970" width="30.42578125" style="1" customWidth="1"/>
    <col min="8971" max="8971" width="17.140625" style="1" bestFit="1" customWidth="1"/>
    <col min="8972" max="9214" width="11.42578125" style="1"/>
    <col min="9215" max="9215" width="9.5703125" style="1" customWidth="1"/>
    <col min="9216" max="9216" width="24.7109375" style="1" customWidth="1"/>
    <col min="9217" max="9217" width="10.42578125" style="1" customWidth="1"/>
    <col min="9218" max="9218" width="20.7109375" style="1" customWidth="1"/>
    <col min="9219" max="9219" width="35.7109375" style="1" customWidth="1"/>
    <col min="9220" max="9220" width="16.7109375" style="1" customWidth="1"/>
    <col min="9221" max="9221" width="43.5703125" style="1" customWidth="1"/>
    <col min="9222" max="9222" width="20.85546875" style="1" customWidth="1"/>
    <col min="9223" max="9223" width="10.42578125" style="1" customWidth="1"/>
    <col min="9224" max="9224" width="11" style="1" customWidth="1"/>
    <col min="9225" max="9225" width="15.5703125" style="1" customWidth="1"/>
    <col min="9226" max="9226" width="30.42578125" style="1" customWidth="1"/>
    <col min="9227" max="9227" width="17.140625" style="1" bestFit="1" customWidth="1"/>
    <col min="9228" max="9470" width="11.42578125" style="1"/>
    <col min="9471" max="9471" width="9.5703125" style="1" customWidth="1"/>
    <col min="9472" max="9472" width="24.7109375" style="1" customWidth="1"/>
    <col min="9473" max="9473" width="10.42578125" style="1" customWidth="1"/>
    <col min="9474" max="9474" width="20.7109375" style="1" customWidth="1"/>
    <col min="9475" max="9475" width="35.7109375" style="1" customWidth="1"/>
    <col min="9476" max="9476" width="16.7109375" style="1" customWidth="1"/>
    <col min="9477" max="9477" width="43.5703125" style="1" customWidth="1"/>
    <col min="9478" max="9478" width="20.85546875" style="1" customWidth="1"/>
    <col min="9479" max="9479" width="10.42578125" style="1" customWidth="1"/>
    <col min="9480" max="9480" width="11" style="1" customWidth="1"/>
    <col min="9481" max="9481" width="15.5703125" style="1" customWidth="1"/>
    <col min="9482" max="9482" width="30.42578125" style="1" customWidth="1"/>
    <col min="9483" max="9483" width="17.140625" style="1" bestFit="1" customWidth="1"/>
    <col min="9484" max="9726" width="11.42578125" style="1"/>
    <col min="9727" max="9727" width="9.5703125" style="1" customWidth="1"/>
    <col min="9728" max="9728" width="24.7109375" style="1" customWidth="1"/>
    <col min="9729" max="9729" width="10.42578125" style="1" customWidth="1"/>
    <col min="9730" max="9730" width="20.7109375" style="1" customWidth="1"/>
    <col min="9731" max="9731" width="35.7109375" style="1" customWidth="1"/>
    <col min="9732" max="9732" width="16.7109375" style="1" customWidth="1"/>
    <col min="9733" max="9733" width="43.5703125" style="1" customWidth="1"/>
    <col min="9734" max="9734" width="20.85546875" style="1" customWidth="1"/>
    <col min="9735" max="9735" width="10.42578125" style="1" customWidth="1"/>
    <col min="9736" max="9736" width="11" style="1" customWidth="1"/>
    <col min="9737" max="9737" width="15.5703125" style="1" customWidth="1"/>
    <col min="9738" max="9738" width="30.42578125" style="1" customWidth="1"/>
    <col min="9739" max="9739" width="17.140625" style="1" bestFit="1" customWidth="1"/>
    <col min="9740" max="9982" width="11.42578125" style="1"/>
    <col min="9983" max="9983" width="9.5703125" style="1" customWidth="1"/>
    <col min="9984" max="9984" width="24.7109375" style="1" customWidth="1"/>
    <col min="9985" max="9985" width="10.42578125" style="1" customWidth="1"/>
    <col min="9986" max="9986" width="20.7109375" style="1" customWidth="1"/>
    <col min="9987" max="9987" width="35.7109375" style="1" customWidth="1"/>
    <col min="9988" max="9988" width="16.7109375" style="1" customWidth="1"/>
    <col min="9989" max="9989" width="43.5703125" style="1" customWidth="1"/>
    <col min="9990" max="9990" width="20.85546875" style="1" customWidth="1"/>
    <col min="9991" max="9991" width="10.42578125" style="1" customWidth="1"/>
    <col min="9992" max="9992" width="11" style="1" customWidth="1"/>
    <col min="9993" max="9993" width="15.5703125" style="1" customWidth="1"/>
    <col min="9994" max="9994" width="30.42578125" style="1" customWidth="1"/>
    <col min="9995" max="9995" width="17.140625" style="1" bestFit="1" customWidth="1"/>
    <col min="9996" max="10238" width="11.42578125" style="1"/>
    <col min="10239" max="10239" width="9.5703125" style="1" customWidth="1"/>
    <col min="10240" max="10240" width="24.7109375" style="1" customWidth="1"/>
    <col min="10241" max="10241" width="10.42578125" style="1" customWidth="1"/>
    <col min="10242" max="10242" width="20.7109375" style="1" customWidth="1"/>
    <col min="10243" max="10243" width="35.7109375" style="1" customWidth="1"/>
    <col min="10244" max="10244" width="16.7109375" style="1" customWidth="1"/>
    <col min="10245" max="10245" width="43.5703125" style="1" customWidth="1"/>
    <col min="10246" max="10246" width="20.85546875" style="1" customWidth="1"/>
    <col min="10247" max="10247" width="10.42578125" style="1" customWidth="1"/>
    <col min="10248" max="10248" width="11" style="1" customWidth="1"/>
    <col min="10249" max="10249" width="15.5703125" style="1" customWidth="1"/>
    <col min="10250" max="10250" width="30.42578125" style="1" customWidth="1"/>
    <col min="10251" max="10251" width="17.140625" style="1" bestFit="1" customWidth="1"/>
    <col min="10252" max="10494" width="11.42578125" style="1"/>
    <col min="10495" max="10495" width="9.5703125" style="1" customWidth="1"/>
    <col min="10496" max="10496" width="24.7109375" style="1" customWidth="1"/>
    <col min="10497" max="10497" width="10.42578125" style="1" customWidth="1"/>
    <col min="10498" max="10498" width="20.7109375" style="1" customWidth="1"/>
    <col min="10499" max="10499" width="35.7109375" style="1" customWidth="1"/>
    <col min="10500" max="10500" width="16.7109375" style="1" customWidth="1"/>
    <col min="10501" max="10501" width="43.5703125" style="1" customWidth="1"/>
    <col min="10502" max="10502" width="20.85546875" style="1" customWidth="1"/>
    <col min="10503" max="10503" width="10.42578125" style="1" customWidth="1"/>
    <col min="10504" max="10504" width="11" style="1" customWidth="1"/>
    <col min="10505" max="10505" width="15.5703125" style="1" customWidth="1"/>
    <col min="10506" max="10506" width="30.42578125" style="1" customWidth="1"/>
    <col min="10507" max="10507" width="17.140625" style="1" bestFit="1" customWidth="1"/>
    <col min="10508" max="10750" width="11.42578125" style="1"/>
    <col min="10751" max="10751" width="9.5703125" style="1" customWidth="1"/>
    <col min="10752" max="10752" width="24.7109375" style="1" customWidth="1"/>
    <col min="10753" max="10753" width="10.42578125" style="1" customWidth="1"/>
    <col min="10754" max="10754" width="20.7109375" style="1" customWidth="1"/>
    <col min="10755" max="10755" width="35.7109375" style="1" customWidth="1"/>
    <col min="10756" max="10756" width="16.7109375" style="1" customWidth="1"/>
    <col min="10757" max="10757" width="43.5703125" style="1" customWidth="1"/>
    <col min="10758" max="10758" width="20.85546875" style="1" customWidth="1"/>
    <col min="10759" max="10759" width="10.42578125" style="1" customWidth="1"/>
    <col min="10760" max="10760" width="11" style="1" customWidth="1"/>
    <col min="10761" max="10761" width="15.5703125" style="1" customWidth="1"/>
    <col min="10762" max="10762" width="30.42578125" style="1" customWidth="1"/>
    <col min="10763" max="10763" width="17.140625" style="1" bestFit="1" customWidth="1"/>
    <col min="10764" max="11006" width="11.42578125" style="1"/>
    <col min="11007" max="11007" width="9.5703125" style="1" customWidth="1"/>
    <col min="11008" max="11008" width="24.7109375" style="1" customWidth="1"/>
    <col min="11009" max="11009" width="10.42578125" style="1" customWidth="1"/>
    <col min="11010" max="11010" width="20.7109375" style="1" customWidth="1"/>
    <col min="11011" max="11011" width="35.7109375" style="1" customWidth="1"/>
    <col min="11012" max="11012" width="16.7109375" style="1" customWidth="1"/>
    <col min="11013" max="11013" width="43.5703125" style="1" customWidth="1"/>
    <col min="11014" max="11014" width="20.85546875" style="1" customWidth="1"/>
    <col min="11015" max="11015" width="10.42578125" style="1" customWidth="1"/>
    <col min="11016" max="11016" width="11" style="1" customWidth="1"/>
    <col min="11017" max="11017" width="15.5703125" style="1" customWidth="1"/>
    <col min="11018" max="11018" width="30.42578125" style="1" customWidth="1"/>
    <col min="11019" max="11019" width="17.140625" style="1" bestFit="1" customWidth="1"/>
    <col min="11020" max="11262" width="11.42578125" style="1"/>
    <col min="11263" max="11263" width="9.5703125" style="1" customWidth="1"/>
    <col min="11264" max="11264" width="24.7109375" style="1" customWidth="1"/>
    <col min="11265" max="11265" width="10.42578125" style="1" customWidth="1"/>
    <col min="11266" max="11266" width="20.7109375" style="1" customWidth="1"/>
    <col min="11267" max="11267" width="35.7109375" style="1" customWidth="1"/>
    <col min="11268" max="11268" width="16.7109375" style="1" customWidth="1"/>
    <col min="11269" max="11269" width="43.5703125" style="1" customWidth="1"/>
    <col min="11270" max="11270" width="20.85546875" style="1" customWidth="1"/>
    <col min="11271" max="11271" width="10.42578125" style="1" customWidth="1"/>
    <col min="11272" max="11272" width="11" style="1" customWidth="1"/>
    <col min="11273" max="11273" width="15.5703125" style="1" customWidth="1"/>
    <col min="11274" max="11274" width="30.42578125" style="1" customWidth="1"/>
    <col min="11275" max="11275" width="17.140625" style="1" bestFit="1" customWidth="1"/>
    <col min="11276" max="11518" width="11.42578125" style="1"/>
    <col min="11519" max="11519" width="9.5703125" style="1" customWidth="1"/>
    <col min="11520" max="11520" width="24.7109375" style="1" customWidth="1"/>
    <col min="11521" max="11521" width="10.42578125" style="1" customWidth="1"/>
    <col min="11522" max="11522" width="20.7109375" style="1" customWidth="1"/>
    <col min="11523" max="11523" width="35.7109375" style="1" customWidth="1"/>
    <col min="11524" max="11524" width="16.7109375" style="1" customWidth="1"/>
    <col min="11525" max="11525" width="43.5703125" style="1" customWidth="1"/>
    <col min="11526" max="11526" width="20.85546875" style="1" customWidth="1"/>
    <col min="11527" max="11527" width="10.42578125" style="1" customWidth="1"/>
    <col min="11528" max="11528" width="11" style="1" customWidth="1"/>
    <col min="11529" max="11529" width="15.5703125" style="1" customWidth="1"/>
    <col min="11530" max="11530" width="30.42578125" style="1" customWidth="1"/>
    <col min="11531" max="11531" width="17.140625" style="1" bestFit="1" customWidth="1"/>
    <col min="11532" max="11774" width="11.42578125" style="1"/>
    <col min="11775" max="11775" width="9.5703125" style="1" customWidth="1"/>
    <col min="11776" max="11776" width="24.7109375" style="1" customWidth="1"/>
    <col min="11777" max="11777" width="10.42578125" style="1" customWidth="1"/>
    <col min="11778" max="11778" width="20.7109375" style="1" customWidth="1"/>
    <col min="11779" max="11779" width="35.7109375" style="1" customWidth="1"/>
    <col min="11780" max="11780" width="16.7109375" style="1" customWidth="1"/>
    <col min="11781" max="11781" width="43.5703125" style="1" customWidth="1"/>
    <col min="11782" max="11782" width="20.85546875" style="1" customWidth="1"/>
    <col min="11783" max="11783" width="10.42578125" style="1" customWidth="1"/>
    <col min="11784" max="11784" width="11" style="1" customWidth="1"/>
    <col min="11785" max="11785" width="15.5703125" style="1" customWidth="1"/>
    <col min="11786" max="11786" width="30.42578125" style="1" customWidth="1"/>
    <col min="11787" max="11787" width="17.140625" style="1" bestFit="1" customWidth="1"/>
    <col min="11788" max="12030" width="11.42578125" style="1"/>
    <col min="12031" max="12031" width="9.5703125" style="1" customWidth="1"/>
    <col min="12032" max="12032" width="24.7109375" style="1" customWidth="1"/>
    <col min="12033" max="12033" width="10.42578125" style="1" customWidth="1"/>
    <col min="12034" max="12034" width="20.7109375" style="1" customWidth="1"/>
    <col min="12035" max="12035" width="35.7109375" style="1" customWidth="1"/>
    <col min="12036" max="12036" width="16.7109375" style="1" customWidth="1"/>
    <col min="12037" max="12037" width="43.5703125" style="1" customWidth="1"/>
    <col min="12038" max="12038" width="20.85546875" style="1" customWidth="1"/>
    <col min="12039" max="12039" width="10.42578125" style="1" customWidth="1"/>
    <col min="12040" max="12040" width="11" style="1" customWidth="1"/>
    <col min="12041" max="12041" width="15.5703125" style="1" customWidth="1"/>
    <col min="12042" max="12042" width="30.42578125" style="1" customWidth="1"/>
    <col min="12043" max="12043" width="17.140625" style="1" bestFit="1" customWidth="1"/>
    <col min="12044" max="12286" width="11.42578125" style="1"/>
    <col min="12287" max="12287" width="9.5703125" style="1" customWidth="1"/>
    <col min="12288" max="12288" width="24.7109375" style="1" customWidth="1"/>
    <col min="12289" max="12289" width="10.42578125" style="1" customWidth="1"/>
    <col min="12290" max="12290" width="20.7109375" style="1" customWidth="1"/>
    <col min="12291" max="12291" width="35.7109375" style="1" customWidth="1"/>
    <col min="12292" max="12292" width="16.7109375" style="1" customWidth="1"/>
    <col min="12293" max="12293" width="43.5703125" style="1" customWidth="1"/>
    <col min="12294" max="12294" width="20.85546875" style="1" customWidth="1"/>
    <col min="12295" max="12295" width="10.42578125" style="1" customWidth="1"/>
    <col min="12296" max="12296" width="11" style="1" customWidth="1"/>
    <col min="12297" max="12297" width="15.5703125" style="1" customWidth="1"/>
    <col min="12298" max="12298" width="30.42578125" style="1" customWidth="1"/>
    <col min="12299" max="12299" width="17.140625" style="1" bestFit="1" customWidth="1"/>
    <col min="12300" max="12542" width="11.42578125" style="1"/>
    <col min="12543" max="12543" width="9.5703125" style="1" customWidth="1"/>
    <col min="12544" max="12544" width="24.7109375" style="1" customWidth="1"/>
    <col min="12545" max="12545" width="10.42578125" style="1" customWidth="1"/>
    <col min="12546" max="12546" width="20.7109375" style="1" customWidth="1"/>
    <col min="12547" max="12547" width="35.7109375" style="1" customWidth="1"/>
    <col min="12548" max="12548" width="16.7109375" style="1" customWidth="1"/>
    <col min="12549" max="12549" width="43.5703125" style="1" customWidth="1"/>
    <col min="12550" max="12550" width="20.85546875" style="1" customWidth="1"/>
    <col min="12551" max="12551" width="10.42578125" style="1" customWidth="1"/>
    <col min="12552" max="12552" width="11" style="1" customWidth="1"/>
    <col min="12553" max="12553" width="15.5703125" style="1" customWidth="1"/>
    <col min="12554" max="12554" width="30.42578125" style="1" customWidth="1"/>
    <col min="12555" max="12555" width="17.140625" style="1" bestFit="1" customWidth="1"/>
    <col min="12556" max="12798" width="11.42578125" style="1"/>
    <col min="12799" max="12799" width="9.5703125" style="1" customWidth="1"/>
    <col min="12800" max="12800" width="24.7109375" style="1" customWidth="1"/>
    <col min="12801" max="12801" width="10.42578125" style="1" customWidth="1"/>
    <col min="12802" max="12802" width="20.7109375" style="1" customWidth="1"/>
    <col min="12803" max="12803" width="35.7109375" style="1" customWidth="1"/>
    <col min="12804" max="12804" width="16.7109375" style="1" customWidth="1"/>
    <col min="12805" max="12805" width="43.5703125" style="1" customWidth="1"/>
    <col min="12806" max="12806" width="20.85546875" style="1" customWidth="1"/>
    <col min="12807" max="12807" width="10.42578125" style="1" customWidth="1"/>
    <col min="12808" max="12808" width="11" style="1" customWidth="1"/>
    <col min="12809" max="12809" width="15.5703125" style="1" customWidth="1"/>
    <col min="12810" max="12810" width="30.42578125" style="1" customWidth="1"/>
    <col min="12811" max="12811" width="17.140625" style="1" bestFit="1" customWidth="1"/>
    <col min="12812" max="13054" width="11.42578125" style="1"/>
    <col min="13055" max="13055" width="9.5703125" style="1" customWidth="1"/>
    <col min="13056" max="13056" width="24.7109375" style="1" customWidth="1"/>
    <col min="13057" max="13057" width="10.42578125" style="1" customWidth="1"/>
    <col min="13058" max="13058" width="20.7109375" style="1" customWidth="1"/>
    <col min="13059" max="13059" width="35.7109375" style="1" customWidth="1"/>
    <col min="13060" max="13060" width="16.7109375" style="1" customWidth="1"/>
    <col min="13061" max="13061" width="43.5703125" style="1" customWidth="1"/>
    <col min="13062" max="13062" width="20.85546875" style="1" customWidth="1"/>
    <col min="13063" max="13063" width="10.42578125" style="1" customWidth="1"/>
    <col min="13064" max="13064" width="11" style="1" customWidth="1"/>
    <col min="13065" max="13065" width="15.5703125" style="1" customWidth="1"/>
    <col min="13066" max="13066" width="30.42578125" style="1" customWidth="1"/>
    <col min="13067" max="13067" width="17.140625" style="1" bestFit="1" customWidth="1"/>
    <col min="13068" max="13310" width="11.42578125" style="1"/>
    <col min="13311" max="13311" width="9.5703125" style="1" customWidth="1"/>
    <col min="13312" max="13312" width="24.7109375" style="1" customWidth="1"/>
    <col min="13313" max="13313" width="10.42578125" style="1" customWidth="1"/>
    <col min="13314" max="13314" width="20.7109375" style="1" customWidth="1"/>
    <col min="13315" max="13315" width="35.7109375" style="1" customWidth="1"/>
    <col min="13316" max="13316" width="16.7109375" style="1" customWidth="1"/>
    <col min="13317" max="13317" width="43.5703125" style="1" customWidth="1"/>
    <col min="13318" max="13318" width="20.85546875" style="1" customWidth="1"/>
    <col min="13319" max="13319" width="10.42578125" style="1" customWidth="1"/>
    <col min="13320" max="13320" width="11" style="1" customWidth="1"/>
    <col min="13321" max="13321" width="15.5703125" style="1" customWidth="1"/>
    <col min="13322" max="13322" width="30.42578125" style="1" customWidth="1"/>
    <col min="13323" max="13323" width="17.140625" style="1" bestFit="1" customWidth="1"/>
    <col min="13324" max="13566" width="11.42578125" style="1"/>
    <col min="13567" max="13567" width="9.5703125" style="1" customWidth="1"/>
    <col min="13568" max="13568" width="24.7109375" style="1" customWidth="1"/>
    <col min="13569" max="13569" width="10.42578125" style="1" customWidth="1"/>
    <col min="13570" max="13570" width="20.7109375" style="1" customWidth="1"/>
    <col min="13571" max="13571" width="35.7109375" style="1" customWidth="1"/>
    <col min="13572" max="13572" width="16.7109375" style="1" customWidth="1"/>
    <col min="13573" max="13573" width="43.5703125" style="1" customWidth="1"/>
    <col min="13574" max="13574" width="20.85546875" style="1" customWidth="1"/>
    <col min="13575" max="13575" width="10.42578125" style="1" customWidth="1"/>
    <col min="13576" max="13576" width="11" style="1" customWidth="1"/>
    <col min="13577" max="13577" width="15.5703125" style="1" customWidth="1"/>
    <col min="13578" max="13578" width="30.42578125" style="1" customWidth="1"/>
    <col min="13579" max="13579" width="17.140625" style="1" bestFit="1" customWidth="1"/>
    <col min="13580" max="13822" width="11.42578125" style="1"/>
    <col min="13823" max="13823" width="9.5703125" style="1" customWidth="1"/>
    <col min="13824" max="13824" width="24.7109375" style="1" customWidth="1"/>
    <col min="13825" max="13825" width="10.42578125" style="1" customWidth="1"/>
    <col min="13826" max="13826" width="20.7109375" style="1" customWidth="1"/>
    <col min="13827" max="13827" width="35.7109375" style="1" customWidth="1"/>
    <col min="13828" max="13828" width="16.7109375" style="1" customWidth="1"/>
    <col min="13829" max="13829" width="43.5703125" style="1" customWidth="1"/>
    <col min="13830" max="13830" width="20.85546875" style="1" customWidth="1"/>
    <col min="13831" max="13831" width="10.42578125" style="1" customWidth="1"/>
    <col min="13832" max="13832" width="11" style="1" customWidth="1"/>
    <col min="13833" max="13833" width="15.5703125" style="1" customWidth="1"/>
    <col min="13834" max="13834" width="30.42578125" style="1" customWidth="1"/>
    <col min="13835" max="13835" width="17.140625" style="1" bestFit="1" customWidth="1"/>
    <col min="13836" max="14078" width="11.42578125" style="1"/>
    <col min="14079" max="14079" width="9.5703125" style="1" customWidth="1"/>
    <col min="14080" max="14080" width="24.7109375" style="1" customWidth="1"/>
    <col min="14081" max="14081" width="10.42578125" style="1" customWidth="1"/>
    <col min="14082" max="14082" width="20.7109375" style="1" customWidth="1"/>
    <col min="14083" max="14083" width="35.7109375" style="1" customWidth="1"/>
    <col min="14084" max="14084" width="16.7109375" style="1" customWidth="1"/>
    <col min="14085" max="14085" width="43.5703125" style="1" customWidth="1"/>
    <col min="14086" max="14086" width="20.85546875" style="1" customWidth="1"/>
    <col min="14087" max="14087" width="10.42578125" style="1" customWidth="1"/>
    <col min="14088" max="14088" width="11" style="1" customWidth="1"/>
    <col min="14089" max="14089" width="15.5703125" style="1" customWidth="1"/>
    <col min="14090" max="14090" width="30.42578125" style="1" customWidth="1"/>
    <col min="14091" max="14091" width="17.140625" style="1" bestFit="1" customWidth="1"/>
    <col min="14092" max="14334" width="11.42578125" style="1"/>
    <col min="14335" max="14335" width="9.5703125" style="1" customWidth="1"/>
    <col min="14336" max="14336" width="24.7109375" style="1" customWidth="1"/>
    <col min="14337" max="14337" width="10.42578125" style="1" customWidth="1"/>
    <col min="14338" max="14338" width="20.7109375" style="1" customWidth="1"/>
    <col min="14339" max="14339" width="35.7109375" style="1" customWidth="1"/>
    <col min="14340" max="14340" width="16.7109375" style="1" customWidth="1"/>
    <col min="14341" max="14341" width="43.5703125" style="1" customWidth="1"/>
    <col min="14342" max="14342" width="20.85546875" style="1" customWidth="1"/>
    <col min="14343" max="14343" width="10.42578125" style="1" customWidth="1"/>
    <col min="14344" max="14344" width="11" style="1" customWidth="1"/>
    <col min="14345" max="14345" width="15.5703125" style="1" customWidth="1"/>
    <col min="14346" max="14346" width="30.42578125" style="1" customWidth="1"/>
    <col min="14347" max="14347" width="17.140625" style="1" bestFit="1" customWidth="1"/>
    <col min="14348" max="14590" width="11.42578125" style="1"/>
    <col min="14591" max="14591" width="9.5703125" style="1" customWidth="1"/>
    <col min="14592" max="14592" width="24.7109375" style="1" customWidth="1"/>
    <col min="14593" max="14593" width="10.42578125" style="1" customWidth="1"/>
    <col min="14594" max="14594" width="20.7109375" style="1" customWidth="1"/>
    <col min="14595" max="14595" width="35.7109375" style="1" customWidth="1"/>
    <col min="14596" max="14596" width="16.7109375" style="1" customWidth="1"/>
    <col min="14597" max="14597" width="43.5703125" style="1" customWidth="1"/>
    <col min="14598" max="14598" width="20.85546875" style="1" customWidth="1"/>
    <col min="14599" max="14599" width="10.42578125" style="1" customWidth="1"/>
    <col min="14600" max="14600" width="11" style="1" customWidth="1"/>
    <col min="14601" max="14601" width="15.5703125" style="1" customWidth="1"/>
    <col min="14602" max="14602" width="30.42578125" style="1" customWidth="1"/>
    <col min="14603" max="14603" width="17.140625" style="1" bestFit="1" customWidth="1"/>
    <col min="14604" max="14846" width="11.42578125" style="1"/>
    <col min="14847" max="14847" width="9.5703125" style="1" customWidth="1"/>
    <col min="14848" max="14848" width="24.7109375" style="1" customWidth="1"/>
    <col min="14849" max="14849" width="10.42578125" style="1" customWidth="1"/>
    <col min="14850" max="14850" width="20.7109375" style="1" customWidth="1"/>
    <col min="14851" max="14851" width="35.7109375" style="1" customWidth="1"/>
    <col min="14852" max="14852" width="16.7109375" style="1" customWidth="1"/>
    <col min="14853" max="14853" width="43.5703125" style="1" customWidth="1"/>
    <col min="14854" max="14854" width="20.85546875" style="1" customWidth="1"/>
    <col min="14855" max="14855" width="10.42578125" style="1" customWidth="1"/>
    <col min="14856" max="14856" width="11" style="1" customWidth="1"/>
    <col min="14857" max="14857" width="15.5703125" style="1" customWidth="1"/>
    <col min="14858" max="14858" width="30.42578125" style="1" customWidth="1"/>
    <col min="14859" max="14859" width="17.140625" style="1" bestFit="1" customWidth="1"/>
    <col min="14860" max="15102" width="11.42578125" style="1"/>
    <col min="15103" max="15103" width="9.5703125" style="1" customWidth="1"/>
    <col min="15104" max="15104" width="24.7109375" style="1" customWidth="1"/>
    <col min="15105" max="15105" width="10.42578125" style="1" customWidth="1"/>
    <col min="15106" max="15106" width="20.7109375" style="1" customWidth="1"/>
    <col min="15107" max="15107" width="35.7109375" style="1" customWidth="1"/>
    <col min="15108" max="15108" width="16.7109375" style="1" customWidth="1"/>
    <col min="15109" max="15109" width="43.5703125" style="1" customWidth="1"/>
    <col min="15110" max="15110" width="20.85546875" style="1" customWidth="1"/>
    <col min="15111" max="15111" width="10.42578125" style="1" customWidth="1"/>
    <col min="15112" max="15112" width="11" style="1" customWidth="1"/>
    <col min="15113" max="15113" width="15.5703125" style="1" customWidth="1"/>
    <col min="15114" max="15114" width="30.42578125" style="1" customWidth="1"/>
    <col min="15115" max="15115" width="17.140625" style="1" bestFit="1" customWidth="1"/>
    <col min="15116" max="15358" width="11.42578125" style="1"/>
    <col min="15359" max="15359" width="9.5703125" style="1" customWidth="1"/>
    <col min="15360" max="15360" width="24.7109375" style="1" customWidth="1"/>
    <col min="15361" max="15361" width="10.42578125" style="1" customWidth="1"/>
    <col min="15362" max="15362" width="20.7109375" style="1" customWidth="1"/>
    <col min="15363" max="15363" width="35.7109375" style="1" customWidth="1"/>
    <col min="15364" max="15364" width="16.7109375" style="1" customWidth="1"/>
    <col min="15365" max="15365" width="43.5703125" style="1" customWidth="1"/>
    <col min="15366" max="15366" width="20.85546875" style="1" customWidth="1"/>
    <col min="15367" max="15367" width="10.42578125" style="1" customWidth="1"/>
    <col min="15368" max="15368" width="11" style="1" customWidth="1"/>
    <col min="15369" max="15369" width="15.5703125" style="1" customWidth="1"/>
    <col min="15370" max="15370" width="30.42578125" style="1" customWidth="1"/>
    <col min="15371" max="15371" width="17.140625" style="1" bestFit="1" customWidth="1"/>
    <col min="15372" max="15614" width="11.42578125" style="1"/>
    <col min="15615" max="15615" width="9.5703125" style="1" customWidth="1"/>
    <col min="15616" max="15616" width="24.7109375" style="1" customWidth="1"/>
    <col min="15617" max="15617" width="10.42578125" style="1" customWidth="1"/>
    <col min="15618" max="15618" width="20.7109375" style="1" customWidth="1"/>
    <col min="15619" max="15619" width="35.7109375" style="1" customWidth="1"/>
    <col min="15620" max="15620" width="16.7109375" style="1" customWidth="1"/>
    <col min="15621" max="15621" width="43.5703125" style="1" customWidth="1"/>
    <col min="15622" max="15622" width="20.85546875" style="1" customWidth="1"/>
    <col min="15623" max="15623" width="10.42578125" style="1" customWidth="1"/>
    <col min="15624" max="15624" width="11" style="1" customWidth="1"/>
    <col min="15625" max="15625" width="15.5703125" style="1" customWidth="1"/>
    <col min="15626" max="15626" width="30.42578125" style="1" customWidth="1"/>
    <col min="15627" max="15627" width="17.140625" style="1" bestFit="1" customWidth="1"/>
    <col min="15628" max="15870" width="11.42578125" style="1"/>
    <col min="15871" max="15871" width="9.5703125" style="1" customWidth="1"/>
    <col min="15872" max="15872" width="24.7109375" style="1" customWidth="1"/>
    <col min="15873" max="15873" width="10.42578125" style="1" customWidth="1"/>
    <col min="15874" max="15874" width="20.7109375" style="1" customWidth="1"/>
    <col min="15875" max="15875" width="35.7109375" style="1" customWidth="1"/>
    <col min="15876" max="15876" width="16.7109375" style="1" customWidth="1"/>
    <col min="15877" max="15877" width="43.5703125" style="1" customWidth="1"/>
    <col min="15878" max="15878" width="20.85546875" style="1" customWidth="1"/>
    <col min="15879" max="15879" width="10.42578125" style="1" customWidth="1"/>
    <col min="15880" max="15880" width="11" style="1" customWidth="1"/>
    <col min="15881" max="15881" width="15.5703125" style="1" customWidth="1"/>
    <col min="15882" max="15882" width="30.42578125" style="1" customWidth="1"/>
    <col min="15883" max="15883" width="17.140625" style="1" bestFit="1" customWidth="1"/>
    <col min="15884" max="16126" width="11.42578125" style="1"/>
    <col min="16127" max="16127" width="9.5703125" style="1" customWidth="1"/>
    <col min="16128" max="16128" width="24.7109375" style="1" customWidth="1"/>
    <col min="16129" max="16129" width="10.42578125" style="1" customWidth="1"/>
    <col min="16130" max="16130" width="20.7109375" style="1" customWidth="1"/>
    <col min="16131" max="16131" width="35.7109375" style="1" customWidth="1"/>
    <col min="16132" max="16132" width="16.7109375" style="1" customWidth="1"/>
    <col min="16133" max="16133" width="43.5703125" style="1" customWidth="1"/>
    <col min="16134" max="16134" width="20.85546875" style="1" customWidth="1"/>
    <col min="16135" max="16135" width="10.42578125" style="1" customWidth="1"/>
    <col min="16136" max="16136" width="11" style="1" customWidth="1"/>
    <col min="16137" max="16137" width="15.5703125" style="1" customWidth="1"/>
    <col min="16138" max="16138" width="30.42578125" style="1" customWidth="1"/>
    <col min="16139" max="16139" width="17.140625" style="1" bestFit="1" customWidth="1"/>
    <col min="16140" max="16384" width="11.42578125" style="1"/>
  </cols>
  <sheetData>
    <row r="1" spans="1:11" s="15" customFormat="1" ht="20.25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5" customFormat="1" ht="20.25" x14ac:dyDescent="0.3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5" customFormat="1" ht="19.5" x14ac:dyDescent="0.25">
      <c r="A3" s="16"/>
      <c r="E3" s="17"/>
      <c r="F3" s="18"/>
      <c r="I3" s="17"/>
    </row>
    <row r="4" spans="1:11" s="15" customFormat="1" ht="81" x14ac:dyDescent="0.25">
      <c r="A4" s="19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1" t="s">
        <v>9</v>
      </c>
      <c r="I4" s="21" t="s">
        <v>10</v>
      </c>
      <c r="J4" s="21" t="s">
        <v>11</v>
      </c>
      <c r="K4" s="21" t="s">
        <v>12</v>
      </c>
    </row>
    <row r="5" spans="1:11" ht="36.75" x14ac:dyDescent="0.3">
      <c r="A5" s="22">
        <v>1</v>
      </c>
      <c r="B5" s="23" t="s">
        <v>13</v>
      </c>
      <c r="C5" s="24" t="str">
        <f t="shared" ref="C5:C10" si="0">"149101"</f>
        <v>149101</v>
      </c>
      <c r="D5" s="24" t="str">
        <f>"14.149101/2024.00246/BNC"</f>
        <v>14.149101/2024.00246/BNC</v>
      </c>
      <c r="E5" s="24" t="str">
        <f>"149101240065"</f>
        <v>149101240065</v>
      </c>
      <c r="F5" s="24" t="str">
        <f>"SILLA NEGRA GIRATORIA"</f>
        <v>SILLA NEGRA GIRATORIA</v>
      </c>
      <c r="G5" s="24" t="s">
        <v>14</v>
      </c>
      <c r="H5" s="24" t="s">
        <v>15</v>
      </c>
      <c r="I5" s="25">
        <v>1</v>
      </c>
      <c r="J5" s="26" t="s">
        <v>16</v>
      </c>
      <c r="K5" s="10">
        <v>25</v>
      </c>
    </row>
    <row r="6" spans="1:11" ht="36.75" x14ac:dyDescent="0.3">
      <c r="A6" s="22">
        <v>2</v>
      </c>
      <c r="B6" s="23" t="s">
        <v>13</v>
      </c>
      <c r="C6" s="24" t="str">
        <f t="shared" si="0"/>
        <v>149101</v>
      </c>
      <c r="D6" s="24" t="str">
        <f>"14.149101/2024.00247/BNC"</f>
        <v>14.149101/2024.00247/BNC</v>
      </c>
      <c r="E6" s="24" t="str">
        <f>"149101240066"</f>
        <v>149101240066</v>
      </c>
      <c r="F6" s="24" t="str">
        <f>"SILLA NEGRA GIRATORIA"</f>
        <v>SILLA NEGRA GIRATORIA</v>
      </c>
      <c r="G6" s="24" t="s">
        <v>14</v>
      </c>
      <c r="H6" s="24" t="s">
        <v>15</v>
      </c>
      <c r="I6" s="25">
        <v>1</v>
      </c>
      <c r="J6" s="26" t="s">
        <v>16</v>
      </c>
      <c r="K6" s="10">
        <v>25</v>
      </c>
    </row>
    <row r="7" spans="1:11" ht="36.75" x14ac:dyDescent="0.3">
      <c r="A7" s="22">
        <v>3</v>
      </c>
      <c r="B7" s="23" t="s">
        <v>13</v>
      </c>
      <c r="C7" s="24" t="str">
        <f t="shared" si="0"/>
        <v>149101</v>
      </c>
      <c r="D7" s="24" t="str">
        <f>"14.149101/2024.00248/BNC"</f>
        <v>14.149101/2024.00248/BNC</v>
      </c>
      <c r="E7" s="24" t="str">
        <f>"149101240067"</f>
        <v>149101240067</v>
      </c>
      <c r="F7" s="24" t="str">
        <f>"SILLA NEGRA GIRATORIA"</f>
        <v>SILLA NEGRA GIRATORIA</v>
      </c>
      <c r="G7" s="24" t="s">
        <v>14</v>
      </c>
      <c r="H7" s="24" t="s">
        <v>15</v>
      </c>
      <c r="I7" s="25">
        <v>1</v>
      </c>
      <c r="J7" s="26" t="s">
        <v>16</v>
      </c>
      <c r="K7" s="10">
        <v>25</v>
      </c>
    </row>
    <row r="8" spans="1:11" ht="36.75" x14ac:dyDescent="0.3">
      <c r="A8" s="22">
        <v>4</v>
      </c>
      <c r="B8" s="23" t="s">
        <v>13</v>
      </c>
      <c r="C8" s="24" t="str">
        <f t="shared" si="0"/>
        <v>149101</v>
      </c>
      <c r="D8" s="24" t="str">
        <f>"14.149101/2024.00249/BNC"</f>
        <v>14.149101/2024.00249/BNC</v>
      </c>
      <c r="E8" s="24" t="str">
        <f>"149101240068"</f>
        <v>149101240068</v>
      </c>
      <c r="F8" s="24" t="str">
        <f>"SILLA NEGRA GIRATORIA"</f>
        <v>SILLA NEGRA GIRATORIA</v>
      </c>
      <c r="G8" s="24" t="s">
        <v>14</v>
      </c>
      <c r="H8" s="24" t="s">
        <v>15</v>
      </c>
      <c r="I8" s="25">
        <v>1</v>
      </c>
      <c r="J8" s="26" t="s">
        <v>16</v>
      </c>
      <c r="K8" s="10">
        <v>25</v>
      </c>
    </row>
    <row r="9" spans="1:11" ht="36.75" x14ac:dyDescent="0.3">
      <c r="A9" s="22">
        <v>5</v>
      </c>
      <c r="B9" s="23" t="s">
        <v>13</v>
      </c>
      <c r="C9" s="24" t="str">
        <f t="shared" si="0"/>
        <v>149101</v>
      </c>
      <c r="D9" s="24" t="str">
        <f>"14.149101/2024.00250/BNC"</f>
        <v>14.149101/2024.00250/BNC</v>
      </c>
      <c r="E9" s="24" t="str">
        <f>"149101240069"</f>
        <v>149101240069</v>
      </c>
      <c r="F9" s="24" t="str">
        <f>"SILLA NEGRA GIRATORIA"</f>
        <v>SILLA NEGRA GIRATORIA</v>
      </c>
      <c r="G9" s="24" t="s">
        <v>14</v>
      </c>
      <c r="H9" s="24" t="s">
        <v>15</v>
      </c>
      <c r="I9" s="25">
        <v>1</v>
      </c>
      <c r="J9" s="26" t="s">
        <v>16</v>
      </c>
      <c r="K9" s="10">
        <v>25</v>
      </c>
    </row>
    <row r="10" spans="1:11" ht="36.75" x14ac:dyDescent="0.3">
      <c r="A10" s="22">
        <v>6</v>
      </c>
      <c r="B10" s="23" t="s">
        <v>13</v>
      </c>
      <c r="C10" s="24" t="str">
        <f t="shared" si="0"/>
        <v>149101</v>
      </c>
      <c r="D10" s="24" t="str">
        <f>"14.149101/2024.00251/BNC"</f>
        <v>14.149101/2024.00251/BNC</v>
      </c>
      <c r="E10" s="24" t="str">
        <f>"149101240070"</f>
        <v>149101240070</v>
      </c>
      <c r="F10" s="24" t="str">
        <f>"GAVETA DE TRES CAJONES"</f>
        <v>GAVETA DE TRES CAJONES</v>
      </c>
      <c r="G10" s="24" t="s">
        <v>14</v>
      </c>
      <c r="H10" s="24" t="s">
        <v>15</v>
      </c>
      <c r="I10" s="25">
        <v>1</v>
      </c>
      <c r="J10" s="26" t="s">
        <v>16</v>
      </c>
      <c r="K10" s="10">
        <v>30</v>
      </c>
    </row>
    <row r="11" spans="1:11" ht="36.75" x14ac:dyDescent="0.3">
      <c r="A11" s="22">
        <v>7</v>
      </c>
      <c r="B11" s="23" t="s">
        <v>17</v>
      </c>
      <c r="C11" s="24" t="str">
        <f>"149104"</f>
        <v>149104</v>
      </c>
      <c r="D11" s="24" t="str">
        <f>"14.149104/2024.00001/BNC"</f>
        <v>14.149104/2024.00001/BNC</v>
      </c>
      <c r="E11" s="24" t="str">
        <f>"149104240001"</f>
        <v>149104240001</v>
      </c>
      <c r="F11" s="24" t="str">
        <f>"SILLA METALICA"</f>
        <v>SILLA METALICA</v>
      </c>
      <c r="G11" s="24" t="s">
        <v>14</v>
      </c>
      <c r="H11" s="24" t="s">
        <v>15</v>
      </c>
      <c r="I11" s="27">
        <v>1</v>
      </c>
      <c r="J11" s="26" t="s">
        <v>16</v>
      </c>
      <c r="K11" s="10">
        <v>25</v>
      </c>
    </row>
    <row r="12" spans="1:11" ht="36.75" x14ac:dyDescent="0.3">
      <c r="A12" s="22">
        <v>8</v>
      </c>
      <c r="B12" s="23" t="s">
        <v>17</v>
      </c>
      <c r="C12" s="24" t="str">
        <f>"149104"</f>
        <v>149104</v>
      </c>
      <c r="D12" s="24" t="str">
        <f>"14.149104/2024.00002/BNC"</f>
        <v>14.149104/2024.00002/BNC</v>
      </c>
      <c r="E12" s="24" t="str">
        <f>"149104240002"</f>
        <v>149104240002</v>
      </c>
      <c r="F12" s="24" t="str">
        <f>"SILLA METAL"</f>
        <v>SILLA METAL</v>
      </c>
      <c r="G12" s="24" t="s">
        <v>14</v>
      </c>
      <c r="H12" s="24" t="s">
        <v>15</v>
      </c>
      <c r="I12" s="27">
        <v>1</v>
      </c>
      <c r="J12" s="26" t="s">
        <v>16</v>
      </c>
      <c r="K12" s="10">
        <v>25</v>
      </c>
    </row>
    <row r="13" spans="1:11" ht="36.75" x14ac:dyDescent="0.3">
      <c r="A13" s="22">
        <v>9</v>
      </c>
      <c r="B13" s="23" t="s">
        <v>17</v>
      </c>
      <c r="C13" s="24" t="str">
        <f>"149104"</f>
        <v>149104</v>
      </c>
      <c r="D13" s="24" t="str">
        <f>"14.149104/2024.00003/BNC"</f>
        <v>14.149104/2024.00003/BNC</v>
      </c>
      <c r="E13" s="24" t="str">
        <f>"149104240003"</f>
        <v>149104240003</v>
      </c>
      <c r="F13" s="24" t="str">
        <f>"VENTILADOR"</f>
        <v>VENTILADOR</v>
      </c>
      <c r="G13" s="24" t="s">
        <v>14</v>
      </c>
      <c r="H13" s="24" t="s">
        <v>15</v>
      </c>
      <c r="I13" s="27">
        <v>1</v>
      </c>
      <c r="J13" s="26" t="s">
        <v>16</v>
      </c>
      <c r="K13" s="10">
        <v>20</v>
      </c>
    </row>
    <row r="14" spans="1:11" ht="36.75" x14ac:dyDescent="0.3">
      <c r="A14" s="22">
        <v>10</v>
      </c>
      <c r="B14" s="23" t="s">
        <v>17</v>
      </c>
      <c r="C14" s="24" t="str">
        <f>"149104"</f>
        <v>149104</v>
      </c>
      <c r="D14" s="24" t="str">
        <f>"14.149104/2024.00004/BNC"</f>
        <v>14.149104/2024.00004/BNC</v>
      </c>
      <c r="E14" s="24" t="str">
        <f>"149104240004"</f>
        <v>149104240004</v>
      </c>
      <c r="F14" s="24" t="str">
        <f>"VENTILADOR"</f>
        <v>VENTILADOR</v>
      </c>
      <c r="G14" s="24" t="s">
        <v>14</v>
      </c>
      <c r="H14" s="24" t="s">
        <v>15</v>
      </c>
      <c r="I14" s="27">
        <v>1</v>
      </c>
      <c r="J14" s="26" t="s">
        <v>16</v>
      </c>
      <c r="K14" s="10">
        <v>20</v>
      </c>
    </row>
    <row r="15" spans="1:11" ht="36.75" x14ac:dyDescent="0.3">
      <c r="A15" s="22">
        <v>11</v>
      </c>
      <c r="B15" s="23" t="s">
        <v>17</v>
      </c>
      <c r="C15" s="24" t="str">
        <f>"149104"</f>
        <v>149104</v>
      </c>
      <c r="D15" s="24" t="str">
        <f>"14.149104/2024.00005/BNC"</f>
        <v>14.149104/2024.00005/BNC</v>
      </c>
      <c r="E15" s="24" t="str">
        <f>"149104240005"</f>
        <v>149104240005</v>
      </c>
      <c r="F15" s="24" t="str">
        <f>"VENTILADOR"</f>
        <v>VENTILADOR</v>
      </c>
      <c r="G15" s="24" t="s">
        <v>14</v>
      </c>
      <c r="H15" s="24" t="s">
        <v>15</v>
      </c>
      <c r="I15" s="27">
        <v>1</v>
      </c>
      <c r="J15" s="26" t="s">
        <v>16</v>
      </c>
      <c r="K15" s="10">
        <v>20</v>
      </c>
    </row>
    <row r="16" spans="1:11" ht="36.75" x14ac:dyDescent="0.3">
      <c r="A16" s="22">
        <v>12</v>
      </c>
      <c r="B16" s="23" t="s">
        <v>18</v>
      </c>
      <c r="C16" s="24" t="str">
        <f t="shared" ref="C16:C31" si="1">"140103"</f>
        <v>140103</v>
      </c>
      <c r="D16" s="24" t="str">
        <f>"14.140103/2024.00890/BNC"</f>
        <v>14.140103/2024.00890/BNC</v>
      </c>
      <c r="E16" s="24" t="str">
        <f>"140103240766"</f>
        <v>140103240766</v>
      </c>
      <c r="F16" s="24" t="str">
        <f>"UPS"</f>
        <v>UPS</v>
      </c>
      <c r="G16" s="24" t="s">
        <v>14</v>
      </c>
      <c r="H16" s="24" t="s">
        <v>15</v>
      </c>
      <c r="I16" s="27">
        <v>1</v>
      </c>
      <c r="J16" s="26" t="s">
        <v>16</v>
      </c>
      <c r="K16" s="10">
        <v>35</v>
      </c>
    </row>
    <row r="17" spans="1:11" ht="36.75" x14ac:dyDescent="0.3">
      <c r="A17" s="22">
        <v>13</v>
      </c>
      <c r="B17" s="23" t="s">
        <v>18</v>
      </c>
      <c r="C17" s="24" t="str">
        <f t="shared" si="1"/>
        <v>140103</v>
      </c>
      <c r="D17" s="24" t="str">
        <f>"14.140103/2024.00891/BNC"</f>
        <v>14.140103/2024.00891/BNC</v>
      </c>
      <c r="E17" s="24" t="str">
        <f>"140103240767"</f>
        <v>140103240767</v>
      </c>
      <c r="F17" s="24" t="str">
        <f>"ups 02"</f>
        <v>ups 02</v>
      </c>
      <c r="G17" s="24" t="s">
        <v>14</v>
      </c>
      <c r="H17" s="24" t="s">
        <v>15</v>
      </c>
      <c r="I17" s="27">
        <v>1</v>
      </c>
      <c r="J17" s="26" t="s">
        <v>16</v>
      </c>
      <c r="K17" s="10">
        <v>35</v>
      </c>
    </row>
    <row r="18" spans="1:11" ht="36.75" x14ac:dyDescent="0.3">
      <c r="A18" s="22">
        <v>14</v>
      </c>
      <c r="B18" s="23" t="s">
        <v>18</v>
      </c>
      <c r="C18" s="24" t="str">
        <f t="shared" si="1"/>
        <v>140103</v>
      </c>
      <c r="D18" s="24" t="str">
        <f>"14.140103/2024.00892/BNC"</f>
        <v>14.140103/2024.00892/BNC</v>
      </c>
      <c r="E18" s="24" t="str">
        <f>"140103240768"</f>
        <v>140103240768</v>
      </c>
      <c r="F18" s="24" t="str">
        <f>"ups 03"</f>
        <v>ups 03</v>
      </c>
      <c r="G18" s="24" t="s">
        <v>14</v>
      </c>
      <c r="H18" s="24" t="s">
        <v>15</v>
      </c>
      <c r="I18" s="27">
        <v>1</v>
      </c>
      <c r="J18" s="26" t="s">
        <v>16</v>
      </c>
      <c r="K18" s="10">
        <v>35</v>
      </c>
    </row>
    <row r="19" spans="1:11" ht="36.75" x14ac:dyDescent="0.3">
      <c r="A19" s="22">
        <v>15</v>
      </c>
      <c r="B19" s="23" t="s">
        <v>18</v>
      </c>
      <c r="C19" s="24" t="str">
        <f t="shared" si="1"/>
        <v>140103</v>
      </c>
      <c r="D19" s="24" t="str">
        <f>"14.140103/2024.00893/BNC"</f>
        <v>14.140103/2024.00893/BNC</v>
      </c>
      <c r="E19" s="24" t="str">
        <f>"140103240769"</f>
        <v>140103240769</v>
      </c>
      <c r="F19" s="24" t="str">
        <f>"silla apilable"</f>
        <v>silla apilable</v>
      </c>
      <c r="G19" s="24" t="s">
        <v>14</v>
      </c>
      <c r="H19" s="24" t="s">
        <v>15</v>
      </c>
      <c r="I19" s="27">
        <v>1</v>
      </c>
      <c r="J19" s="26" t="s">
        <v>16</v>
      </c>
      <c r="K19" s="10">
        <v>25</v>
      </c>
    </row>
    <row r="20" spans="1:11" ht="36.75" x14ac:dyDescent="0.3">
      <c r="A20" s="22">
        <v>16</v>
      </c>
      <c r="B20" s="23" t="s">
        <v>18</v>
      </c>
      <c r="C20" s="24" t="str">
        <f t="shared" si="1"/>
        <v>140103</v>
      </c>
      <c r="D20" s="24" t="str">
        <f>"14.140103/2024.00894/BNC"</f>
        <v>14.140103/2024.00894/BNC</v>
      </c>
      <c r="E20" s="24" t="str">
        <f>"140103240770"</f>
        <v>140103240770</v>
      </c>
      <c r="F20" s="24" t="str">
        <f>"SILLA APILABLE 02"</f>
        <v>SILLA APILABLE 02</v>
      </c>
      <c r="G20" s="24" t="s">
        <v>14</v>
      </c>
      <c r="H20" s="24" t="s">
        <v>15</v>
      </c>
      <c r="I20" s="27">
        <v>1</v>
      </c>
      <c r="J20" s="26" t="s">
        <v>16</v>
      </c>
      <c r="K20" s="10">
        <v>25</v>
      </c>
    </row>
    <row r="21" spans="1:11" ht="36.75" x14ac:dyDescent="0.3">
      <c r="A21" s="22">
        <v>17</v>
      </c>
      <c r="B21" s="23" t="s">
        <v>18</v>
      </c>
      <c r="C21" s="24" t="str">
        <f t="shared" si="1"/>
        <v>140103</v>
      </c>
      <c r="D21" s="24" t="str">
        <f>"14.140103/2024.00895/BNC"</f>
        <v>14.140103/2024.00895/BNC</v>
      </c>
      <c r="E21" s="24" t="str">
        <f>"140103240771"</f>
        <v>140103240771</v>
      </c>
      <c r="F21" s="24" t="str">
        <f>"ESFIGMOMANOMETRO DE PARED"</f>
        <v>ESFIGMOMANOMETRO DE PARED</v>
      </c>
      <c r="G21" s="24" t="s">
        <v>14</v>
      </c>
      <c r="H21" s="24" t="s">
        <v>15</v>
      </c>
      <c r="I21" s="27">
        <v>1</v>
      </c>
      <c r="J21" s="26" t="s">
        <v>16</v>
      </c>
      <c r="K21" s="10">
        <v>30</v>
      </c>
    </row>
    <row r="22" spans="1:11" ht="36.75" x14ac:dyDescent="0.3">
      <c r="A22" s="22">
        <v>18</v>
      </c>
      <c r="B22" s="23" t="s">
        <v>18</v>
      </c>
      <c r="C22" s="24" t="str">
        <f t="shared" si="1"/>
        <v>140103</v>
      </c>
      <c r="D22" s="24" t="str">
        <f>"14.140103/2024.00896/BNC"</f>
        <v>14.140103/2024.00896/BNC</v>
      </c>
      <c r="E22" s="24" t="str">
        <f>"140103240772"</f>
        <v>140103240772</v>
      </c>
      <c r="F22" s="24" t="str">
        <f>"SILLA APILABLE 03"</f>
        <v>SILLA APILABLE 03</v>
      </c>
      <c r="G22" s="24" t="s">
        <v>14</v>
      </c>
      <c r="H22" s="24" t="s">
        <v>15</v>
      </c>
      <c r="I22" s="27">
        <v>1</v>
      </c>
      <c r="J22" s="26" t="s">
        <v>16</v>
      </c>
      <c r="K22" s="10">
        <v>25</v>
      </c>
    </row>
    <row r="23" spans="1:11" ht="36.75" x14ac:dyDescent="0.3">
      <c r="A23" s="22">
        <v>19</v>
      </c>
      <c r="B23" s="23" t="s">
        <v>18</v>
      </c>
      <c r="C23" s="24" t="str">
        <f t="shared" si="1"/>
        <v>140103</v>
      </c>
      <c r="D23" s="24" t="str">
        <f>"14.140103/2024.00897/BNC"</f>
        <v>14.140103/2024.00897/BNC</v>
      </c>
      <c r="E23" s="24" t="str">
        <f>"140103240773"</f>
        <v>140103240773</v>
      </c>
      <c r="F23" s="24" t="str">
        <f>"SILLA APILABLE 4"</f>
        <v>SILLA APILABLE 4</v>
      </c>
      <c r="G23" s="24" t="s">
        <v>14</v>
      </c>
      <c r="H23" s="24" t="s">
        <v>15</v>
      </c>
      <c r="I23" s="27">
        <v>1</v>
      </c>
      <c r="J23" s="26" t="s">
        <v>16</v>
      </c>
      <c r="K23" s="10">
        <v>25</v>
      </c>
    </row>
    <row r="24" spans="1:11" ht="36.75" x14ac:dyDescent="0.3">
      <c r="A24" s="22">
        <v>20</v>
      </c>
      <c r="B24" s="23" t="s">
        <v>18</v>
      </c>
      <c r="C24" s="24" t="str">
        <f t="shared" si="1"/>
        <v>140103</v>
      </c>
      <c r="D24" s="24" t="str">
        <f>"14.140103/2024.00898/BNC"</f>
        <v>14.140103/2024.00898/BNC</v>
      </c>
      <c r="E24" s="24" t="str">
        <f>"140103240774"</f>
        <v>140103240774</v>
      </c>
      <c r="F24" s="24" t="str">
        <f>"MANGO PARA BISTURI"</f>
        <v>MANGO PARA BISTURI</v>
      </c>
      <c r="G24" s="24" t="s">
        <v>14</v>
      </c>
      <c r="H24" s="24" t="s">
        <v>15</v>
      </c>
      <c r="I24" s="27">
        <v>1</v>
      </c>
      <c r="J24" s="26" t="s">
        <v>16</v>
      </c>
      <c r="K24" s="10">
        <v>5</v>
      </c>
    </row>
    <row r="25" spans="1:11" ht="36.75" x14ac:dyDescent="0.3">
      <c r="A25" s="22">
        <v>21</v>
      </c>
      <c r="B25" s="23" t="s">
        <v>18</v>
      </c>
      <c r="C25" s="24" t="str">
        <f t="shared" si="1"/>
        <v>140103</v>
      </c>
      <c r="D25" s="24" t="str">
        <f>"14.140103/2024.00899/BNC"</f>
        <v>14.140103/2024.00899/BNC</v>
      </c>
      <c r="E25" s="24" t="str">
        <f>"140103240775"</f>
        <v>140103240775</v>
      </c>
      <c r="F25" s="24" t="str">
        <f>"SILLA APILABLE 5"</f>
        <v>SILLA APILABLE 5</v>
      </c>
      <c r="G25" s="24" t="s">
        <v>14</v>
      </c>
      <c r="H25" s="24" t="s">
        <v>15</v>
      </c>
      <c r="I25" s="27">
        <v>1</v>
      </c>
      <c r="J25" s="26" t="s">
        <v>16</v>
      </c>
      <c r="K25" s="10">
        <v>25</v>
      </c>
    </row>
    <row r="26" spans="1:11" ht="36.75" x14ac:dyDescent="0.3">
      <c r="A26" s="22">
        <v>22</v>
      </c>
      <c r="B26" s="23" t="s">
        <v>18</v>
      </c>
      <c r="C26" s="24" t="str">
        <f t="shared" si="1"/>
        <v>140103</v>
      </c>
      <c r="D26" s="24" t="str">
        <f>"14.140103/2024.00900/BNC"</f>
        <v>14.140103/2024.00900/BNC</v>
      </c>
      <c r="E26" s="24" t="str">
        <f>"140103240776"</f>
        <v>140103240776</v>
      </c>
      <c r="F26" s="24" t="str">
        <f>"SILLA APILABLE 6"</f>
        <v>SILLA APILABLE 6</v>
      </c>
      <c r="G26" s="24" t="s">
        <v>14</v>
      </c>
      <c r="H26" s="24" t="s">
        <v>15</v>
      </c>
      <c r="I26" s="27">
        <v>1</v>
      </c>
      <c r="J26" s="26" t="s">
        <v>16</v>
      </c>
      <c r="K26" s="10">
        <v>25</v>
      </c>
    </row>
    <row r="27" spans="1:11" ht="36.75" x14ac:dyDescent="0.3">
      <c r="A27" s="22">
        <v>23</v>
      </c>
      <c r="B27" s="23" t="s">
        <v>18</v>
      </c>
      <c r="C27" s="24" t="str">
        <f t="shared" si="1"/>
        <v>140103</v>
      </c>
      <c r="D27" s="24" t="str">
        <f>"14.140103/2024.00901/BNC"</f>
        <v>14.140103/2024.00901/BNC</v>
      </c>
      <c r="E27" s="24" t="str">
        <f>"140103240777"</f>
        <v>140103240777</v>
      </c>
      <c r="F27" s="24" t="str">
        <f>"SILLA APILABLE 7"</f>
        <v>SILLA APILABLE 7</v>
      </c>
      <c r="G27" s="24" t="s">
        <v>14</v>
      </c>
      <c r="H27" s="24" t="s">
        <v>15</v>
      </c>
      <c r="I27" s="27">
        <v>1</v>
      </c>
      <c r="J27" s="26" t="s">
        <v>16</v>
      </c>
      <c r="K27" s="10">
        <v>25</v>
      </c>
    </row>
    <row r="28" spans="1:11" ht="36.75" x14ac:dyDescent="0.3">
      <c r="A28" s="22">
        <v>24</v>
      </c>
      <c r="B28" s="23" t="s">
        <v>18</v>
      </c>
      <c r="C28" s="24" t="str">
        <f t="shared" si="1"/>
        <v>140103</v>
      </c>
      <c r="D28" s="24" t="str">
        <f>"14.140103/2024.00902/BNC"</f>
        <v>14.140103/2024.00902/BNC</v>
      </c>
      <c r="E28" s="24" t="str">
        <f>"140103240778"</f>
        <v>140103240778</v>
      </c>
      <c r="F28" s="24" t="str">
        <f>"SILLA APILABLE 8"</f>
        <v>SILLA APILABLE 8</v>
      </c>
      <c r="G28" s="24" t="s">
        <v>14</v>
      </c>
      <c r="H28" s="24" t="s">
        <v>15</v>
      </c>
      <c r="I28" s="27">
        <v>1</v>
      </c>
      <c r="J28" s="26" t="s">
        <v>16</v>
      </c>
      <c r="K28" s="10">
        <v>25</v>
      </c>
    </row>
    <row r="29" spans="1:11" ht="36.75" x14ac:dyDescent="0.3">
      <c r="A29" s="22">
        <v>25</v>
      </c>
      <c r="B29" s="23" t="s">
        <v>18</v>
      </c>
      <c r="C29" s="24" t="str">
        <f t="shared" si="1"/>
        <v>140103</v>
      </c>
      <c r="D29" s="24" t="str">
        <f>"14.140103/2024.00903/BNC"</f>
        <v>14.140103/2024.00903/BNC</v>
      </c>
      <c r="E29" s="24" t="str">
        <f>"140103240779"</f>
        <v>140103240779</v>
      </c>
      <c r="F29" s="24" t="str">
        <f>"SILLA APILABLE 9"</f>
        <v>SILLA APILABLE 9</v>
      </c>
      <c r="G29" s="24" t="s">
        <v>14</v>
      </c>
      <c r="H29" s="24" t="s">
        <v>15</v>
      </c>
      <c r="I29" s="27">
        <v>1</v>
      </c>
      <c r="J29" s="26" t="s">
        <v>16</v>
      </c>
      <c r="K29" s="10">
        <v>25</v>
      </c>
    </row>
    <row r="30" spans="1:11" ht="36.75" x14ac:dyDescent="0.3">
      <c r="A30" s="22">
        <v>26</v>
      </c>
      <c r="B30" s="23" t="s">
        <v>18</v>
      </c>
      <c r="C30" s="24" t="str">
        <f t="shared" si="1"/>
        <v>140103</v>
      </c>
      <c r="D30" s="24" t="str">
        <f>"14.140103/2024.00904/BNC"</f>
        <v>14.140103/2024.00904/BNC</v>
      </c>
      <c r="E30" s="24" t="str">
        <f>"140103240780"</f>
        <v>140103240780</v>
      </c>
      <c r="F30" s="24" t="str">
        <f>"SILLA GIRATORIA SECRETARIAL TAPIZADA EN TELA"</f>
        <v>SILLA GIRATORIA SECRETARIAL TAPIZADA EN TELA</v>
      </c>
      <c r="G30" s="24" t="s">
        <v>14</v>
      </c>
      <c r="H30" s="24" t="s">
        <v>15</v>
      </c>
      <c r="I30" s="27">
        <v>1</v>
      </c>
      <c r="J30" s="26" t="s">
        <v>16</v>
      </c>
      <c r="K30" s="10">
        <v>25</v>
      </c>
    </row>
    <row r="31" spans="1:11" ht="36.75" x14ac:dyDescent="0.3">
      <c r="A31" s="22">
        <v>27</v>
      </c>
      <c r="B31" s="23" t="s">
        <v>18</v>
      </c>
      <c r="C31" s="24" t="str">
        <f t="shared" si="1"/>
        <v>140103</v>
      </c>
      <c r="D31" s="24" t="str">
        <f>"14.140103/2024.00905/BNC"</f>
        <v>14.140103/2024.00905/BNC</v>
      </c>
      <c r="E31" s="24" t="str">
        <f>"140103240781"</f>
        <v>140103240781</v>
      </c>
      <c r="F31" s="24" t="str">
        <f>"SILLA GIRATORIA SECRETARIAL TAPIZADA EN TELA 2"</f>
        <v>SILLA GIRATORIA SECRETARIAL TAPIZADA EN TELA 2</v>
      </c>
      <c r="G31" s="24" t="s">
        <v>14</v>
      </c>
      <c r="H31" s="24" t="s">
        <v>15</v>
      </c>
      <c r="I31" s="27">
        <v>1</v>
      </c>
      <c r="J31" s="26" t="s">
        <v>16</v>
      </c>
      <c r="K31" s="10">
        <v>25</v>
      </c>
    </row>
    <row r="32" spans="1:11" ht="36.75" x14ac:dyDescent="0.3">
      <c r="A32" s="22">
        <v>28</v>
      </c>
      <c r="B32" s="23" t="s">
        <v>19</v>
      </c>
      <c r="C32" s="24" t="str">
        <f t="shared" ref="C32:C47" si="2">"140204"</f>
        <v>140204</v>
      </c>
      <c r="D32" s="24" t="str">
        <f>"14.140204/2024.00171/BNC"</f>
        <v>14.140204/2024.00171/BNC</v>
      </c>
      <c r="E32" s="24" t="str">
        <f>"140204240171"</f>
        <v>140204240171</v>
      </c>
      <c r="F32" s="24" t="str">
        <f>"SILLA PARA ACOMPAÑANTE"</f>
        <v>SILLA PARA ACOMPAÑANTE</v>
      </c>
      <c r="G32" s="24" t="s">
        <v>14</v>
      </c>
      <c r="H32" s="24" t="s">
        <v>15</v>
      </c>
      <c r="I32" s="27">
        <v>1</v>
      </c>
      <c r="J32" s="26" t="s">
        <v>16</v>
      </c>
      <c r="K32" s="10">
        <v>25</v>
      </c>
    </row>
    <row r="33" spans="1:11" ht="36.75" x14ac:dyDescent="0.3">
      <c r="A33" s="22">
        <v>29</v>
      </c>
      <c r="B33" s="23" t="s">
        <v>19</v>
      </c>
      <c r="C33" s="24" t="str">
        <f t="shared" si="2"/>
        <v>140204</v>
      </c>
      <c r="D33" s="24" t="str">
        <f>"14.140204/2024.00172/BNC"</f>
        <v>14.140204/2024.00172/BNC</v>
      </c>
      <c r="E33" s="24" t="str">
        <f>"140204240172"</f>
        <v>140204240172</v>
      </c>
      <c r="F33" s="24" t="str">
        <f>"SILLA PARA ACOMPAÑANTE"</f>
        <v>SILLA PARA ACOMPAÑANTE</v>
      </c>
      <c r="G33" s="24" t="s">
        <v>14</v>
      </c>
      <c r="H33" s="24" t="s">
        <v>15</v>
      </c>
      <c r="I33" s="27">
        <v>1</v>
      </c>
      <c r="J33" s="26" t="s">
        <v>16</v>
      </c>
      <c r="K33" s="10">
        <v>25</v>
      </c>
    </row>
    <row r="34" spans="1:11" ht="36.75" x14ac:dyDescent="0.3">
      <c r="A34" s="22">
        <v>30</v>
      </c>
      <c r="B34" s="23" t="s">
        <v>19</v>
      </c>
      <c r="C34" s="24" t="str">
        <f t="shared" si="2"/>
        <v>140204</v>
      </c>
      <c r="D34" s="24" t="str">
        <f>"14.140204/2024.00173/BNC"</f>
        <v>14.140204/2024.00173/BNC</v>
      </c>
      <c r="E34" s="24" t="str">
        <f>"140204240173"</f>
        <v>140204240173</v>
      </c>
      <c r="F34" s="24" t="str">
        <f>"SILLA PARA ACOMPAÑANTE"</f>
        <v>SILLA PARA ACOMPAÑANTE</v>
      </c>
      <c r="G34" s="24" t="s">
        <v>14</v>
      </c>
      <c r="H34" s="24" t="s">
        <v>15</v>
      </c>
      <c r="I34" s="27">
        <v>1</v>
      </c>
      <c r="J34" s="26" t="s">
        <v>16</v>
      </c>
      <c r="K34" s="10">
        <v>25</v>
      </c>
    </row>
    <row r="35" spans="1:11" ht="36.75" x14ac:dyDescent="0.3">
      <c r="A35" s="22">
        <v>31</v>
      </c>
      <c r="B35" s="23" t="s">
        <v>19</v>
      </c>
      <c r="C35" s="24" t="str">
        <f t="shared" si="2"/>
        <v>140204</v>
      </c>
      <c r="D35" s="24" t="str">
        <f>"14.140204/2024.00174/BNC"</f>
        <v>14.140204/2024.00174/BNC</v>
      </c>
      <c r="E35" s="24" t="str">
        <f>"140204240174"</f>
        <v>140204240174</v>
      </c>
      <c r="F35" s="24" t="str">
        <f>"SILLA PARA ACOMPAÑANTE"</f>
        <v>SILLA PARA ACOMPAÑANTE</v>
      </c>
      <c r="G35" s="24" t="s">
        <v>14</v>
      </c>
      <c r="H35" s="24" t="s">
        <v>15</v>
      </c>
      <c r="I35" s="27">
        <v>1</v>
      </c>
      <c r="J35" s="26" t="s">
        <v>16</v>
      </c>
      <c r="K35" s="10">
        <v>25</v>
      </c>
    </row>
    <row r="36" spans="1:11" ht="36.75" x14ac:dyDescent="0.3">
      <c r="A36" s="22">
        <v>32</v>
      </c>
      <c r="B36" s="23" t="s">
        <v>19</v>
      </c>
      <c r="C36" s="24" t="str">
        <f t="shared" si="2"/>
        <v>140204</v>
      </c>
      <c r="D36" s="24" t="str">
        <f>"14.140204/2024.00175/BNC"</f>
        <v>14.140204/2024.00175/BNC</v>
      </c>
      <c r="E36" s="24" t="str">
        <f>"140204240175"</f>
        <v>140204240175</v>
      </c>
      <c r="F36" s="24" t="str">
        <f t="shared" ref="F36:F41" si="3">"CARRO CAMILLA"</f>
        <v>CARRO CAMILLA</v>
      </c>
      <c r="G36" s="24" t="s">
        <v>14</v>
      </c>
      <c r="H36" s="24" t="s">
        <v>15</v>
      </c>
      <c r="I36" s="27">
        <v>1</v>
      </c>
      <c r="J36" s="26" t="s">
        <v>16</v>
      </c>
      <c r="K36" s="10">
        <v>150</v>
      </c>
    </row>
    <row r="37" spans="1:11" ht="36.75" x14ac:dyDescent="0.3">
      <c r="A37" s="22">
        <v>33</v>
      </c>
      <c r="B37" s="23" t="s">
        <v>19</v>
      </c>
      <c r="C37" s="24" t="str">
        <f t="shared" si="2"/>
        <v>140204</v>
      </c>
      <c r="D37" s="24" t="str">
        <f>"14.140204/2024.00176/BNC"</f>
        <v>14.140204/2024.00176/BNC</v>
      </c>
      <c r="E37" s="24" t="str">
        <f>"140204240176"</f>
        <v>140204240176</v>
      </c>
      <c r="F37" s="24" t="str">
        <f t="shared" si="3"/>
        <v>CARRO CAMILLA</v>
      </c>
      <c r="G37" s="24" t="s">
        <v>14</v>
      </c>
      <c r="H37" s="24" t="s">
        <v>15</v>
      </c>
      <c r="I37" s="27">
        <v>1</v>
      </c>
      <c r="J37" s="26" t="s">
        <v>16</v>
      </c>
      <c r="K37" s="10">
        <v>150</v>
      </c>
    </row>
    <row r="38" spans="1:11" ht="36.75" x14ac:dyDescent="0.3">
      <c r="A38" s="22">
        <v>34</v>
      </c>
      <c r="B38" s="23" t="s">
        <v>19</v>
      </c>
      <c r="C38" s="24" t="str">
        <f t="shared" si="2"/>
        <v>140204</v>
      </c>
      <c r="D38" s="24" t="str">
        <f>"14.140204/2024.00177/BNC"</f>
        <v>14.140204/2024.00177/BNC</v>
      </c>
      <c r="E38" s="24" t="str">
        <f>"140204240177"</f>
        <v>140204240177</v>
      </c>
      <c r="F38" s="24" t="str">
        <f t="shared" si="3"/>
        <v>CARRO CAMILLA</v>
      </c>
      <c r="G38" s="24" t="s">
        <v>14</v>
      </c>
      <c r="H38" s="24" t="s">
        <v>15</v>
      </c>
      <c r="I38" s="27">
        <v>1</v>
      </c>
      <c r="J38" s="26" t="s">
        <v>16</v>
      </c>
      <c r="K38" s="10">
        <v>150</v>
      </c>
    </row>
    <row r="39" spans="1:11" ht="36.75" x14ac:dyDescent="0.3">
      <c r="A39" s="22">
        <v>35</v>
      </c>
      <c r="B39" s="23" t="s">
        <v>19</v>
      </c>
      <c r="C39" s="24" t="str">
        <f t="shared" si="2"/>
        <v>140204</v>
      </c>
      <c r="D39" s="24" t="str">
        <f>"14.140204/2024.00178/BNC"</f>
        <v>14.140204/2024.00178/BNC</v>
      </c>
      <c r="E39" s="24" t="str">
        <f>"140204240178"</f>
        <v>140204240178</v>
      </c>
      <c r="F39" s="24" t="str">
        <f t="shared" si="3"/>
        <v>CARRO CAMILLA</v>
      </c>
      <c r="G39" s="24" t="s">
        <v>14</v>
      </c>
      <c r="H39" s="24" t="s">
        <v>15</v>
      </c>
      <c r="I39" s="27">
        <v>1</v>
      </c>
      <c r="J39" s="26" t="s">
        <v>16</v>
      </c>
      <c r="K39" s="10">
        <v>150</v>
      </c>
    </row>
    <row r="40" spans="1:11" ht="36.75" x14ac:dyDescent="0.3">
      <c r="A40" s="22">
        <v>36</v>
      </c>
      <c r="B40" s="23" t="s">
        <v>19</v>
      </c>
      <c r="C40" s="24" t="str">
        <f t="shared" si="2"/>
        <v>140204</v>
      </c>
      <c r="D40" s="24" t="str">
        <f>"14.140204/2024.00179/BNC"</f>
        <v>14.140204/2024.00179/BNC</v>
      </c>
      <c r="E40" s="24" t="str">
        <f>"140204240179"</f>
        <v>140204240179</v>
      </c>
      <c r="F40" s="24" t="str">
        <f t="shared" si="3"/>
        <v>CARRO CAMILLA</v>
      </c>
      <c r="G40" s="24" t="s">
        <v>14</v>
      </c>
      <c r="H40" s="24" t="s">
        <v>15</v>
      </c>
      <c r="I40" s="27">
        <v>1</v>
      </c>
      <c r="J40" s="26" t="s">
        <v>16</v>
      </c>
      <c r="K40" s="10">
        <v>150</v>
      </c>
    </row>
    <row r="41" spans="1:11" ht="36.75" x14ac:dyDescent="0.3">
      <c r="A41" s="22">
        <v>37</v>
      </c>
      <c r="B41" s="23" t="s">
        <v>19</v>
      </c>
      <c r="C41" s="24" t="str">
        <f t="shared" si="2"/>
        <v>140204</v>
      </c>
      <c r="D41" s="24" t="str">
        <f>"14.140204/2024.00180/BNC"</f>
        <v>14.140204/2024.00180/BNC</v>
      </c>
      <c r="E41" s="24" t="str">
        <f>"140204240180"</f>
        <v>140204240180</v>
      </c>
      <c r="F41" s="24" t="str">
        <f t="shared" si="3"/>
        <v>CARRO CAMILLA</v>
      </c>
      <c r="G41" s="24" t="s">
        <v>14</v>
      </c>
      <c r="H41" s="24" t="s">
        <v>15</v>
      </c>
      <c r="I41" s="27">
        <v>1</v>
      </c>
      <c r="J41" s="26" t="s">
        <v>16</v>
      </c>
      <c r="K41" s="10">
        <v>150</v>
      </c>
    </row>
    <row r="42" spans="1:11" ht="36.75" x14ac:dyDescent="0.3">
      <c r="A42" s="22">
        <v>38</v>
      </c>
      <c r="B42" s="23" t="s">
        <v>19</v>
      </c>
      <c r="C42" s="24" t="str">
        <f t="shared" si="2"/>
        <v>140204</v>
      </c>
      <c r="D42" s="24" t="str">
        <f>"14.140204/2024.00181/BNC"</f>
        <v>14.140204/2024.00181/BNC</v>
      </c>
      <c r="E42" s="24" t="str">
        <f>"140204240181"</f>
        <v>140204240181</v>
      </c>
      <c r="F42" s="24" t="str">
        <f>"BASE PARA MONITOR DE SIGNOS VITALES"</f>
        <v>BASE PARA MONITOR DE SIGNOS VITALES</v>
      </c>
      <c r="G42" s="24" t="s">
        <v>14</v>
      </c>
      <c r="H42" s="24" t="s">
        <v>15</v>
      </c>
      <c r="I42" s="27">
        <v>1</v>
      </c>
      <c r="J42" s="26" t="s">
        <v>16</v>
      </c>
      <c r="K42" s="10">
        <v>50</v>
      </c>
    </row>
    <row r="43" spans="1:11" ht="36.75" x14ac:dyDescent="0.3">
      <c r="A43" s="22">
        <v>39</v>
      </c>
      <c r="B43" s="23" t="s">
        <v>19</v>
      </c>
      <c r="C43" s="24" t="str">
        <f t="shared" si="2"/>
        <v>140204</v>
      </c>
      <c r="D43" s="24" t="str">
        <f>"14.140204/2024.00182/BNC"</f>
        <v>14.140204/2024.00182/BNC</v>
      </c>
      <c r="E43" s="24" t="str">
        <f>"140204240182"</f>
        <v>140204240182</v>
      </c>
      <c r="F43" s="24" t="str">
        <f>"SILLA FIJA TAPIZ VERDE"</f>
        <v>SILLA FIJA TAPIZ VERDE</v>
      </c>
      <c r="G43" s="24" t="s">
        <v>14</v>
      </c>
      <c r="H43" s="24" t="s">
        <v>15</v>
      </c>
      <c r="I43" s="27">
        <v>1</v>
      </c>
      <c r="J43" s="26" t="s">
        <v>16</v>
      </c>
      <c r="K43" s="10">
        <v>25</v>
      </c>
    </row>
    <row r="44" spans="1:11" ht="36.75" x14ac:dyDescent="0.3">
      <c r="A44" s="22">
        <v>40</v>
      </c>
      <c r="B44" s="23" t="s">
        <v>19</v>
      </c>
      <c r="C44" s="24" t="str">
        <f t="shared" si="2"/>
        <v>140204</v>
      </c>
      <c r="D44" s="24" t="str">
        <f>"14.140204/2024.00183/BNC"</f>
        <v>14.140204/2024.00183/BNC</v>
      </c>
      <c r="E44" s="24" t="str">
        <f>"140204240183"</f>
        <v>140204240183</v>
      </c>
      <c r="F44" s="24" t="str">
        <f>"SILLA FIJA TAPIZ VERDE"</f>
        <v>SILLA FIJA TAPIZ VERDE</v>
      </c>
      <c r="G44" s="24" t="s">
        <v>14</v>
      </c>
      <c r="H44" s="24" t="s">
        <v>15</v>
      </c>
      <c r="I44" s="27">
        <v>1</v>
      </c>
      <c r="J44" s="26" t="s">
        <v>16</v>
      </c>
      <c r="K44" s="10">
        <v>25</v>
      </c>
    </row>
    <row r="45" spans="1:11" ht="36.75" x14ac:dyDescent="0.3">
      <c r="A45" s="22">
        <v>41</v>
      </c>
      <c r="B45" s="23" t="s">
        <v>19</v>
      </c>
      <c r="C45" s="24" t="str">
        <f t="shared" si="2"/>
        <v>140204</v>
      </c>
      <c r="D45" s="24" t="str">
        <f>"14.140204/2024.00184/BNC"</f>
        <v>14.140204/2024.00184/BNC</v>
      </c>
      <c r="E45" s="24" t="str">
        <f>"140204240184"</f>
        <v>140204240184</v>
      </c>
      <c r="F45" s="24" t="str">
        <f>"BOTE DE BASURA METALICO CON TAPA"</f>
        <v>BOTE DE BASURA METALICO CON TAPA</v>
      </c>
      <c r="G45" s="24" t="s">
        <v>14</v>
      </c>
      <c r="H45" s="24" t="s">
        <v>15</v>
      </c>
      <c r="I45" s="27">
        <v>1</v>
      </c>
      <c r="J45" s="26" t="s">
        <v>16</v>
      </c>
      <c r="K45" s="10">
        <v>20</v>
      </c>
    </row>
    <row r="46" spans="1:11" ht="36.75" x14ac:dyDescent="0.3">
      <c r="A46" s="22">
        <v>42</v>
      </c>
      <c r="B46" s="23" t="s">
        <v>19</v>
      </c>
      <c r="C46" s="24" t="str">
        <f t="shared" si="2"/>
        <v>140204</v>
      </c>
      <c r="D46" s="24" t="str">
        <f>"14.140204/2024.00185/BNC"</f>
        <v>14.140204/2024.00185/BNC</v>
      </c>
      <c r="E46" s="24" t="str">
        <f>"140204240185"</f>
        <v>140204240185</v>
      </c>
      <c r="F46" s="24" t="str">
        <f>"LAMPARA DE CHICOTE"</f>
        <v>LAMPARA DE CHICOTE</v>
      </c>
      <c r="G46" s="24" t="s">
        <v>14</v>
      </c>
      <c r="H46" s="24" t="s">
        <v>15</v>
      </c>
      <c r="I46" s="27">
        <v>1</v>
      </c>
      <c r="J46" s="26" t="s">
        <v>16</v>
      </c>
      <c r="K46" s="10">
        <v>20</v>
      </c>
    </row>
    <row r="47" spans="1:11" ht="36.75" x14ac:dyDescent="0.3">
      <c r="A47" s="22">
        <v>43</v>
      </c>
      <c r="B47" s="23" t="s">
        <v>19</v>
      </c>
      <c r="C47" s="24" t="str">
        <f t="shared" si="2"/>
        <v>140204</v>
      </c>
      <c r="D47" s="24" t="str">
        <f>"14.140204/2024.00186/BNC"</f>
        <v>14.140204/2024.00186/BNC</v>
      </c>
      <c r="E47" s="24" t="str">
        <f>"140204240186"</f>
        <v>140204240186</v>
      </c>
      <c r="F47" s="24" t="str">
        <f>"LAMPARA DE CHICOTE"</f>
        <v>LAMPARA DE CHICOTE</v>
      </c>
      <c r="G47" s="24" t="s">
        <v>14</v>
      </c>
      <c r="H47" s="24" t="s">
        <v>15</v>
      </c>
      <c r="I47" s="27">
        <v>1</v>
      </c>
      <c r="J47" s="26" t="s">
        <v>16</v>
      </c>
      <c r="K47" s="10">
        <v>20</v>
      </c>
    </row>
    <row r="48" spans="1:11" ht="36.75" x14ac:dyDescent="0.3">
      <c r="A48" s="22">
        <v>44</v>
      </c>
      <c r="B48" s="23" t="s">
        <v>20</v>
      </c>
      <c r="C48" s="24" t="str">
        <f t="shared" ref="C48:C58" si="4">"140101"</f>
        <v>140101</v>
      </c>
      <c r="D48" s="24" t="str">
        <f>"14.140101/2024.01346/BNC"</f>
        <v>14.140101/2024.01346/BNC</v>
      </c>
      <c r="E48" s="24" t="str">
        <f>"140101240636"</f>
        <v>140101240636</v>
      </c>
      <c r="F48" s="24" t="str">
        <f>"EQUIPO HOLTER"</f>
        <v>EQUIPO HOLTER</v>
      </c>
      <c r="G48" s="24" t="s">
        <v>14</v>
      </c>
      <c r="H48" s="24" t="s">
        <v>15</v>
      </c>
      <c r="I48" s="27">
        <v>1</v>
      </c>
      <c r="J48" s="26" t="s">
        <v>16</v>
      </c>
      <c r="K48" s="10">
        <v>50</v>
      </c>
    </row>
    <row r="49" spans="1:11" ht="36.75" x14ac:dyDescent="0.3">
      <c r="A49" s="22">
        <v>45</v>
      </c>
      <c r="B49" s="23" t="s">
        <v>20</v>
      </c>
      <c r="C49" s="24" t="str">
        <f t="shared" si="4"/>
        <v>140101</v>
      </c>
      <c r="D49" s="24" t="str">
        <f>"14.140101/2024.01347/BNC"</f>
        <v>14.140101/2024.01347/BNC</v>
      </c>
      <c r="E49" s="24" t="str">
        <f>"140101240637"</f>
        <v>140101240637</v>
      </c>
      <c r="F49" s="24" t="str">
        <f>"BASCULA PARA BEBE"</f>
        <v>BASCULA PARA BEBE</v>
      </c>
      <c r="G49" s="24" t="s">
        <v>14</v>
      </c>
      <c r="H49" s="24" t="s">
        <v>15</v>
      </c>
      <c r="I49" s="27">
        <v>1</v>
      </c>
      <c r="J49" s="26" t="s">
        <v>16</v>
      </c>
      <c r="K49" s="10">
        <v>25</v>
      </c>
    </row>
    <row r="50" spans="1:11" ht="36.75" x14ac:dyDescent="0.3">
      <c r="A50" s="22">
        <v>46</v>
      </c>
      <c r="B50" s="23" t="s">
        <v>20</v>
      </c>
      <c r="C50" s="24" t="str">
        <f t="shared" si="4"/>
        <v>140101</v>
      </c>
      <c r="D50" s="24" t="str">
        <f>"14.140101/2024.01348/BNC"</f>
        <v>14.140101/2024.01348/BNC</v>
      </c>
      <c r="E50" s="24" t="str">
        <f>"140101240638"</f>
        <v>140101240638</v>
      </c>
      <c r="F50" s="24" t="str">
        <f>"Clínicas De Enfermería De Norte América Paquete de 7 libros"</f>
        <v>Clínicas De Enfermería De Norte América Paquete de 7 libros</v>
      </c>
      <c r="G50" s="24" t="s">
        <v>14</v>
      </c>
      <c r="H50" s="24" t="s">
        <v>15</v>
      </c>
      <c r="I50" s="27">
        <v>1</v>
      </c>
      <c r="J50" s="26" t="s">
        <v>16</v>
      </c>
      <c r="K50" s="10">
        <v>30</v>
      </c>
    </row>
    <row r="51" spans="1:11" ht="54.75" x14ac:dyDescent="0.3">
      <c r="A51" s="22">
        <v>47</v>
      </c>
      <c r="B51" s="23" t="s">
        <v>20</v>
      </c>
      <c r="C51" s="24" t="str">
        <f t="shared" si="4"/>
        <v>140101</v>
      </c>
      <c r="D51" s="24" t="str">
        <f>"14.140101/2024.01349/BNC"</f>
        <v>14.140101/2024.01349/BNC</v>
      </c>
      <c r="E51" s="24" t="str">
        <f>"140101240639"</f>
        <v>140101240639</v>
      </c>
      <c r="F51" s="24" t="str">
        <f>"Clínicas Obstétricas y Ginecológicas Paquete de 25 libros"</f>
        <v>Clínicas Obstétricas y Ginecológicas Paquete de 25 libros</v>
      </c>
      <c r="G51" s="24" t="s">
        <v>14</v>
      </c>
      <c r="H51" s="24" t="s">
        <v>15</v>
      </c>
      <c r="I51" s="27">
        <v>1</v>
      </c>
      <c r="J51" s="26" t="s">
        <v>16</v>
      </c>
      <c r="K51" s="10">
        <v>30</v>
      </c>
    </row>
    <row r="52" spans="1:11" ht="54.75" x14ac:dyDescent="0.3">
      <c r="A52" s="22">
        <v>48</v>
      </c>
      <c r="B52" s="23" t="s">
        <v>20</v>
      </c>
      <c r="C52" s="24" t="str">
        <f t="shared" si="4"/>
        <v>140101</v>
      </c>
      <c r="D52" s="24" t="str">
        <f>"14.140101/2024.01350/BNC"</f>
        <v>14.140101/2024.01350/BNC</v>
      </c>
      <c r="E52" s="24" t="str">
        <f>"140101240640"</f>
        <v>140101240640</v>
      </c>
      <c r="F52" s="24" t="str">
        <f>"Clínicas Médicas De Urgencias De Norteamérica Paquete 6 libros"</f>
        <v>Clínicas Médicas De Urgencias De Norteamérica Paquete 6 libros</v>
      </c>
      <c r="G52" s="24" t="s">
        <v>14</v>
      </c>
      <c r="H52" s="24" t="s">
        <v>15</v>
      </c>
      <c r="I52" s="27">
        <v>1</v>
      </c>
      <c r="J52" s="26" t="s">
        <v>16</v>
      </c>
      <c r="K52" s="10">
        <v>30</v>
      </c>
    </row>
    <row r="53" spans="1:11" ht="36.75" x14ac:dyDescent="0.3">
      <c r="A53" s="22">
        <v>49</v>
      </c>
      <c r="B53" s="23" t="s">
        <v>20</v>
      </c>
      <c r="C53" s="24" t="str">
        <f t="shared" si="4"/>
        <v>140101</v>
      </c>
      <c r="D53" s="24" t="str">
        <f>"14.140101/2024.01351/BNC"</f>
        <v>14.140101/2024.01351/BNC</v>
      </c>
      <c r="E53" s="24" t="str">
        <f>"140101240641"</f>
        <v>140101240641</v>
      </c>
      <c r="F53" s="24" t="str">
        <f>"Temas de Medicina Interna Paquete de 8 libros"</f>
        <v>Temas de Medicina Interna Paquete de 8 libros</v>
      </c>
      <c r="G53" s="24" t="s">
        <v>14</v>
      </c>
      <c r="H53" s="24" t="s">
        <v>15</v>
      </c>
      <c r="I53" s="27">
        <v>1</v>
      </c>
      <c r="J53" s="26" t="s">
        <v>16</v>
      </c>
      <c r="K53" s="10">
        <v>30</v>
      </c>
    </row>
    <row r="54" spans="1:11" ht="90.75" x14ac:dyDescent="0.3">
      <c r="A54" s="22">
        <v>50</v>
      </c>
      <c r="B54" s="23" t="s">
        <v>20</v>
      </c>
      <c r="C54" s="24" t="str">
        <f t="shared" si="4"/>
        <v>140101</v>
      </c>
      <c r="D54" s="24" t="str">
        <f>"14.140101/2024.01352/BNC"</f>
        <v>14.140101/2024.01352/BNC</v>
      </c>
      <c r="E54" s="24" t="str">
        <f>"140101240642"</f>
        <v>140101240642</v>
      </c>
      <c r="F54" s="24" t="str">
        <f>"Clínicas Cardiológicas De Norteamérica , Estado Actual de la Cardiología Nuclear Paquete de 3 libros Cardiología Nuclear"</f>
        <v>Clínicas Cardiológicas De Norteamérica , Estado Actual de la Cardiología Nuclear Paquete de 3 libros Cardiología Nuclear</v>
      </c>
      <c r="G54" s="24" t="s">
        <v>14</v>
      </c>
      <c r="H54" s="24" t="s">
        <v>15</v>
      </c>
      <c r="I54" s="27">
        <v>1</v>
      </c>
      <c r="J54" s="26" t="s">
        <v>16</v>
      </c>
      <c r="K54" s="10">
        <v>30</v>
      </c>
    </row>
    <row r="55" spans="1:11" ht="36.75" x14ac:dyDescent="0.3">
      <c r="A55" s="22">
        <v>51</v>
      </c>
      <c r="B55" s="23" t="s">
        <v>20</v>
      </c>
      <c r="C55" s="24" t="str">
        <f t="shared" si="4"/>
        <v>140101</v>
      </c>
      <c r="D55" s="24" t="str">
        <f>"14.140101/2024.01353/BNC"</f>
        <v>14.140101/2024.01353/BNC</v>
      </c>
      <c r="E55" s="24" t="str">
        <f>"140101240643"</f>
        <v>140101240643</v>
      </c>
      <c r="F55" s="24" t="str">
        <f>"Clínicas Quirúrgicas De Norteamérica Paquete 49 libros"</f>
        <v>Clínicas Quirúrgicas De Norteamérica Paquete 49 libros</v>
      </c>
      <c r="G55" s="24" t="s">
        <v>14</v>
      </c>
      <c r="H55" s="24" t="s">
        <v>15</v>
      </c>
      <c r="I55" s="27">
        <v>1</v>
      </c>
      <c r="J55" s="26" t="s">
        <v>16</v>
      </c>
      <c r="K55" s="10">
        <v>30</v>
      </c>
    </row>
    <row r="56" spans="1:11" ht="54.75" x14ac:dyDescent="0.3">
      <c r="A56" s="22">
        <v>52</v>
      </c>
      <c r="B56" s="23" t="s">
        <v>20</v>
      </c>
      <c r="C56" s="24" t="str">
        <f t="shared" si="4"/>
        <v>140101</v>
      </c>
      <c r="D56" s="24" t="str">
        <f>"14.140101/2024.01354/BNC"</f>
        <v>14.140101/2024.01354/BNC</v>
      </c>
      <c r="E56" s="24" t="str">
        <f>"140101240644"</f>
        <v>140101240644</v>
      </c>
      <c r="F56" s="24" t="str">
        <f>"Clínicas Médicas De Norteamérica, Tuberculosis Paquete 26 libros"</f>
        <v>Clínicas Médicas De Norteamérica, Tuberculosis Paquete 26 libros</v>
      </c>
      <c r="G56" s="24" t="s">
        <v>14</v>
      </c>
      <c r="H56" s="24" t="s">
        <v>15</v>
      </c>
      <c r="I56" s="27">
        <v>1</v>
      </c>
      <c r="J56" s="26" t="s">
        <v>16</v>
      </c>
      <c r="K56" s="10">
        <v>30</v>
      </c>
    </row>
    <row r="57" spans="1:11" ht="54.75" x14ac:dyDescent="0.3">
      <c r="A57" s="22">
        <v>53</v>
      </c>
      <c r="B57" s="23" t="s">
        <v>20</v>
      </c>
      <c r="C57" s="24" t="str">
        <f t="shared" si="4"/>
        <v>140101</v>
      </c>
      <c r="D57" s="24" t="str">
        <f>"14.140101/2024.01355/BNC"</f>
        <v>14.140101/2024.01355/BNC</v>
      </c>
      <c r="E57" s="24" t="str">
        <f>"140101240645"</f>
        <v>140101240645</v>
      </c>
      <c r="F57" s="24" t="str">
        <f>"Clínicas Otorrinolaringológicas de Norteamérica Paquete 2 libros"</f>
        <v>Clínicas Otorrinolaringológicas de Norteamérica Paquete 2 libros</v>
      </c>
      <c r="G57" s="24" t="s">
        <v>14</v>
      </c>
      <c r="H57" s="24" t="s">
        <v>15</v>
      </c>
      <c r="I57" s="27">
        <v>1</v>
      </c>
      <c r="J57" s="26" t="s">
        <v>16</v>
      </c>
      <c r="K57" s="10">
        <v>30</v>
      </c>
    </row>
    <row r="58" spans="1:11" ht="36.75" x14ac:dyDescent="0.3">
      <c r="A58" s="22">
        <v>54</v>
      </c>
      <c r="B58" s="23" t="s">
        <v>20</v>
      </c>
      <c r="C58" s="24" t="str">
        <f t="shared" si="4"/>
        <v>140101</v>
      </c>
      <c r="D58" s="24" t="str">
        <f>"14.140101/2024.01356/BNC"</f>
        <v>14.140101/2024.01356/BNC</v>
      </c>
      <c r="E58" s="24" t="str">
        <f>"140101240646"</f>
        <v>140101240646</v>
      </c>
      <c r="F58" s="24" t="str">
        <f>"Clínicas Cardiológicas de Norteamérica Paquete 3 libros"</f>
        <v>Clínicas Cardiológicas de Norteamérica Paquete 3 libros</v>
      </c>
      <c r="G58" s="24" t="s">
        <v>14</v>
      </c>
      <c r="H58" s="24" t="s">
        <v>15</v>
      </c>
      <c r="I58" s="27">
        <v>1</v>
      </c>
      <c r="J58" s="26" t="s">
        <v>16</v>
      </c>
      <c r="K58" s="10">
        <v>30</v>
      </c>
    </row>
    <row r="59" spans="1:11" ht="36.75" x14ac:dyDescent="0.3">
      <c r="A59" s="22">
        <v>55</v>
      </c>
      <c r="B59" s="23" t="s">
        <v>21</v>
      </c>
      <c r="C59" s="24" t="str">
        <f t="shared" ref="C59:C73" si="5">"140102"</f>
        <v>140102</v>
      </c>
      <c r="D59" s="24" t="str">
        <f>"14.140102/2024.00388/BNC"</f>
        <v>14.140102/2024.00388/BNC</v>
      </c>
      <c r="E59" s="24" t="str">
        <f>"140102240388"</f>
        <v>140102240388</v>
      </c>
      <c r="F59" s="24" t="str">
        <f>"CALCULADORA ELECTRONICA"</f>
        <v>CALCULADORA ELECTRONICA</v>
      </c>
      <c r="G59" s="24" t="s">
        <v>14</v>
      </c>
      <c r="H59" s="24" t="s">
        <v>15</v>
      </c>
      <c r="I59" s="27">
        <v>1</v>
      </c>
      <c r="J59" s="26" t="s">
        <v>16</v>
      </c>
      <c r="K59" s="10">
        <v>10</v>
      </c>
    </row>
    <row r="60" spans="1:11" ht="36.75" x14ac:dyDescent="0.3">
      <c r="A60" s="22">
        <v>56</v>
      </c>
      <c r="B60" s="23" t="s">
        <v>21</v>
      </c>
      <c r="C60" s="24" t="str">
        <f t="shared" si="5"/>
        <v>140102</v>
      </c>
      <c r="D60" s="24" t="str">
        <f>"14.140102/2024.00389/BNC"</f>
        <v>14.140102/2024.00389/BNC</v>
      </c>
      <c r="E60" s="24" t="str">
        <f>"140102240389"</f>
        <v>140102240389</v>
      </c>
      <c r="F60" s="24" t="str">
        <f>"SILLA APILABLE"</f>
        <v>SILLA APILABLE</v>
      </c>
      <c r="G60" s="24" t="s">
        <v>14</v>
      </c>
      <c r="H60" s="24" t="s">
        <v>15</v>
      </c>
      <c r="I60" s="27">
        <v>1</v>
      </c>
      <c r="J60" s="26" t="s">
        <v>16</v>
      </c>
      <c r="K60" s="10">
        <v>25</v>
      </c>
    </row>
    <row r="61" spans="1:11" ht="36.75" x14ac:dyDescent="0.3">
      <c r="A61" s="22">
        <v>57</v>
      </c>
      <c r="B61" s="23" t="s">
        <v>21</v>
      </c>
      <c r="C61" s="24" t="str">
        <f t="shared" si="5"/>
        <v>140102</v>
      </c>
      <c r="D61" s="24" t="str">
        <f>"14.140102/2024.00390/BNC"</f>
        <v>14.140102/2024.00390/BNC</v>
      </c>
      <c r="E61" s="24" t="str">
        <f>"140102240390"</f>
        <v>140102240390</v>
      </c>
      <c r="F61" s="24" t="str">
        <f>"ANAQUEL TARJETERO"</f>
        <v>ANAQUEL TARJETERO</v>
      </c>
      <c r="G61" s="24" t="s">
        <v>14</v>
      </c>
      <c r="H61" s="24" t="s">
        <v>15</v>
      </c>
      <c r="I61" s="27">
        <v>1</v>
      </c>
      <c r="J61" s="26" t="s">
        <v>16</v>
      </c>
      <c r="K61" s="10">
        <v>25</v>
      </c>
    </row>
    <row r="62" spans="1:11" ht="36.75" x14ac:dyDescent="0.3">
      <c r="A62" s="22">
        <v>58</v>
      </c>
      <c r="B62" s="23" t="s">
        <v>21</v>
      </c>
      <c r="C62" s="24" t="str">
        <f t="shared" si="5"/>
        <v>140102</v>
      </c>
      <c r="D62" s="24" t="str">
        <f>"14.140102/2024.00391/BNC"</f>
        <v>14.140102/2024.00391/BNC</v>
      </c>
      <c r="E62" s="24" t="str">
        <f>"140102240391"</f>
        <v>140102240391</v>
      </c>
      <c r="F62" s="24" t="str">
        <f>"MAQUINA DE ESCRIBIR MANUAL"</f>
        <v>MAQUINA DE ESCRIBIR MANUAL</v>
      </c>
      <c r="G62" s="24" t="s">
        <v>14</v>
      </c>
      <c r="H62" s="24" t="s">
        <v>15</v>
      </c>
      <c r="I62" s="27">
        <v>1</v>
      </c>
      <c r="J62" s="26" t="s">
        <v>16</v>
      </c>
      <c r="K62" s="10">
        <v>25</v>
      </c>
    </row>
    <row r="63" spans="1:11" ht="36.75" x14ac:dyDescent="0.3">
      <c r="A63" s="22">
        <v>59</v>
      </c>
      <c r="B63" s="23" t="s">
        <v>21</v>
      </c>
      <c r="C63" s="24" t="str">
        <f t="shared" si="5"/>
        <v>140102</v>
      </c>
      <c r="D63" s="24" t="str">
        <f>"14.140102/2024.00392/BNC"</f>
        <v>14.140102/2024.00392/BNC</v>
      </c>
      <c r="E63" s="24" t="str">
        <f>"140102240392"</f>
        <v>140102240392</v>
      </c>
      <c r="F63" s="24" t="str">
        <f>"MAQUINA DE ESCRIBIR MANUAL"</f>
        <v>MAQUINA DE ESCRIBIR MANUAL</v>
      </c>
      <c r="G63" s="24" t="s">
        <v>14</v>
      </c>
      <c r="H63" s="24" t="s">
        <v>15</v>
      </c>
      <c r="I63" s="27">
        <v>1</v>
      </c>
      <c r="J63" s="26" t="s">
        <v>16</v>
      </c>
      <c r="K63" s="10">
        <v>25</v>
      </c>
    </row>
    <row r="64" spans="1:11" ht="36.75" x14ac:dyDescent="0.3">
      <c r="A64" s="22">
        <v>60</v>
      </c>
      <c r="B64" s="23" t="s">
        <v>21</v>
      </c>
      <c r="C64" s="24" t="str">
        <f t="shared" si="5"/>
        <v>140102</v>
      </c>
      <c r="D64" s="24" t="str">
        <f>"14.140102/2024.00393/BNC"</f>
        <v>14.140102/2024.00393/BNC</v>
      </c>
      <c r="E64" s="24" t="str">
        <f>"140102240393"</f>
        <v>140102240393</v>
      </c>
      <c r="F64" s="24" t="str">
        <f>"TELEVISOR"</f>
        <v>TELEVISOR</v>
      </c>
      <c r="G64" s="24" t="s">
        <v>14</v>
      </c>
      <c r="H64" s="24" t="s">
        <v>15</v>
      </c>
      <c r="I64" s="27">
        <v>1</v>
      </c>
      <c r="J64" s="26" t="s">
        <v>16</v>
      </c>
      <c r="K64" s="10">
        <v>30</v>
      </c>
    </row>
    <row r="65" spans="1:11" ht="36.75" x14ac:dyDescent="0.3">
      <c r="A65" s="22">
        <v>61</v>
      </c>
      <c r="B65" s="23" t="s">
        <v>21</v>
      </c>
      <c r="C65" s="24" t="str">
        <f t="shared" si="5"/>
        <v>140102</v>
      </c>
      <c r="D65" s="24" t="str">
        <f>"14.140102/2024.00394/BNC"</f>
        <v>14.140102/2024.00394/BNC</v>
      </c>
      <c r="E65" s="24" t="str">
        <f>"140102240394"</f>
        <v>140102240394</v>
      </c>
      <c r="F65" s="24" t="str">
        <f>"SILLA SECRETARIAL"</f>
        <v>SILLA SECRETARIAL</v>
      </c>
      <c r="G65" s="24" t="s">
        <v>14</v>
      </c>
      <c r="H65" s="24" t="s">
        <v>15</v>
      </c>
      <c r="I65" s="27">
        <v>1</v>
      </c>
      <c r="J65" s="26" t="s">
        <v>16</v>
      </c>
      <c r="K65" s="10">
        <v>25</v>
      </c>
    </row>
    <row r="66" spans="1:11" ht="36.75" x14ac:dyDescent="0.3">
      <c r="A66" s="22">
        <v>62</v>
      </c>
      <c r="B66" s="23" t="s">
        <v>21</v>
      </c>
      <c r="C66" s="24" t="str">
        <f t="shared" si="5"/>
        <v>140102</v>
      </c>
      <c r="D66" s="24" t="str">
        <f>"14.140102/2024.00395/BNC"</f>
        <v>14.140102/2024.00395/BNC</v>
      </c>
      <c r="E66" s="24" t="str">
        <f>"140102240395"</f>
        <v>140102240395</v>
      </c>
      <c r="F66" s="24" t="str">
        <f>"SILLA SECRETARIAL"</f>
        <v>SILLA SECRETARIAL</v>
      </c>
      <c r="G66" s="24" t="s">
        <v>14</v>
      </c>
      <c r="H66" s="24" t="s">
        <v>15</v>
      </c>
      <c r="I66" s="27">
        <v>1</v>
      </c>
      <c r="J66" s="26" t="s">
        <v>16</v>
      </c>
      <c r="K66" s="10">
        <v>25</v>
      </c>
    </row>
    <row r="67" spans="1:11" ht="36.75" x14ac:dyDescent="0.3">
      <c r="A67" s="22">
        <v>63</v>
      </c>
      <c r="B67" s="23" t="s">
        <v>21</v>
      </c>
      <c r="C67" s="24" t="str">
        <f t="shared" si="5"/>
        <v>140102</v>
      </c>
      <c r="D67" s="24" t="str">
        <f>"14.140102/2024.00396/BNC"</f>
        <v>14.140102/2024.00396/BNC</v>
      </c>
      <c r="E67" s="24" t="str">
        <f>"140102240396"</f>
        <v>140102240396</v>
      </c>
      <c r="F67" s="24" t="str">
        <f>"SILLA SECRETARIAL"</f>
        <v>SILLA SECRETARIAL</v>
      </c>
      <c r="G67" s="24" t="s">
        <v>14</v>
      </c>
      <c r="H67" s="24" t="s">
        <v>15</v>
      </c>
      <c r="I67" s="27">
        <v>1</v>
      </c>
      <c r="J67" s="26" t="s">
        <v>16</v>
      </c>
      <c r="K67" s="10">
        <v>25</v>
      </c>
    </row>
    <row r="68" spans="1:11" ht="36.75" x14ac:dyDescent="0.3">
      <c r="A68" s="22">
        <v>64</v>
      </c>
      <c r="B68" s="23" t="s">
        <v>21</v>
      </c>
      <c r="C68" s="24" t="str">
        <f t="shared" si="5"/>
        <v>140102</v>
      </c>
      <c r="D68" s="24" t="str">
        <f>"14.140102/2024.00397/BNC"</f>
        <v>14.140102/2024.00397/BNC</v>
      </c>
      <c r="E68" s="24" t="str">
        <f>"140102240397"</f>
        <v>140102240397</v>
      </c>
      <c r="F68" s="24" t="str">
        <f>"SILLA SECRETARIAL"</f>
        <v>SILLA SECRETARIAL</v>
      </c>
      <c r="G68" s="24" t="s">
        <v>14</v>
      </c>
      <c r="H68" s="24" t="s">
        <v>15</v>
      </c>
      <c r="I68" s="27">
        <v>1</v>
      </c>
      <c r="J68" s="26" t="s">
        <v>16</v>
      </c>
      <c r="K68" s="10">
        <v>25</v>
      </c>
    </row>
    <row r="69" spans="1:11" ht="36.75" x14ac:dyDescent="0.3">
      <c r="A69" s="22">
        <v>65</v>
      </c>
      <c r="B69" s="23" t="s">
        <v>21</v>
      </c>
      <c r="C69" s="24" t="str">
        <f t="shared" si="5"/>
        <v>140102</v>
      </c>
      <c r="D69" s="24" t="str">
        <f>"14.140102/2024.00398/BNC"</f>
        <v>14.140102/2024.00398/BNC</v>
      </c>
      <c r="E69" s="24" t="str">
        <f>"140102240398"</f>
        <v>140102240398</v>
      </c>
      <c r="F69" s="24" t="str">
        <f>"SILLA SECRETARIAL"</f>
        <v>SILLA SECRETARIAL</v>
      </c>
      <c r="G69" s="24" t="s">
        <v>14</v>
      </c>
      <c r="H69" s="24" t="s">
        <v>15</v>
      </c>
      <c r="I69" s="27">
        <v>1</v>
      </c>
      <c r="J69" s="26" t="s">
        <v>16</v>
      </c>
      <c r="K69" s="10">
        <v>25</v>
      </c>
    </row>
    <row r="70" spans="1:11" ht="36.75" x14ac:dyDescent="0.3">
      <c r="A70" s="22">
        <v>66</v>
      </c>
      <c r="B70" s="23" t="s">
        <v>21</v>
      </c>
      <c r="C70" s="24" t="str">
        <f t="shared" si="5"/>
        <v>140102</v>
      </c>
      <c r="D70" s="24" t="str">
        <f>"14.140102/2024.00399/BNC"</f>
        <v>14.140102/2024.00399/BNC</v>
      </c>
      <c r="E70" s="24" t="str">
        <f>"140102240399"</f>
        <v>140102240399</v>
      </c>
      <c r="F70" s="24" t="str">
        <f>"MESA BURO"</f>
        <v>MESA BURO</v>
      </c>
      <c r="G70" s="24" t="s">
        <v>14</v>
      </c>
      <c r="H70" s="24" t="s">
        <v>15</v>
      </c>
      <c r="I70" s="27">
        <v>1</v>
      </c>
      <c r="J70" s="26" t="s">
        <v>16</v>
      </c>
      <c r="K70" s="10">
        <v>30</v>
      </c>
    </row>
    <row r="71" spans="1:11" ht="36.75" x14ac:dyDescent="0.3">
      <c r="A71" s="22">
        <v>67</v>
      </c>
      <c r="B71" s="23" t="s">
        <v>21</v>
      </c>
      <c r="C71" s="24" t="str">
        <f t="shared" si="5"/>
        <v>140102</v>
      </c>
      <c r="D71" s="24" t="str">
        <f>"14.140102/2024.00400/BNC"</f>
        <v>14.140102/2024.00400/BNC</v>
      </c>
      <c r="E71" s="24" t="str">
        <f>"140102240400"</f>
        <v>140102240400</v>
      </c>
      <c r="F71" s="24" t="str">
        <f>"MESA BURO"</f>
        <v>MESA BURO</v>
      </c>
      <c r="G71" s="24" t="s">
        <v>14</v>
      </c>
      <c r="H71" s="24" t="s">
        <v>15</v>
      </c>
      <c r="I71" s="27">
        <v>1</v>
      </c>
      <c r="J71" s="26" t="s">
        <v>16</v>
      </c>
      <c r="K71" s="10">
        <v>30</v>
      </c>
    </row>
    <row r="72" spans="1:11" ht="36.75" x14ac:dyDescent="0.3">
      <c r="A72" s="22">
        <v>68</v>
      </c>
      <c r="B72" s="23" t="s">
        <v>21</v>
      </c>
      <c r="C72" s="24" t="str">
        <f t="shared" si="5"/>
        <v>140102</v>
      </c>
      <c r="D72" s="24" t="str">
        <f>"14.140102/2024.00401/BNC"</f>
        <v>14.140102/2024.00401/BNC</v>
      </c>
      <c r="E72" s="24" t="str">
        <f>"140102240401"</f>
        <v>140102240401</v>
      </c>
      <c r="F72" s="24" t="str">
        <f>"ESFIGMOMANOMETRO"</f>
        <v>ESFIGMOMANOMETRO</v>
      </c>
      <c r="G72" s="24" t="s">
        <v>14</v>
      </c>
      <c r="H72" s="24" t="s">
        <v>15</v>
      </c>
      <c r="I72" s="27">
        <v>1</v>
      </c>
      <c r="J72" s="26" t="s">
        <v>16</v>
      </c>
      <c r="K72" s="10">
        <v>30</v>
      </c>
    </row>
    <row r="73" spans="1:11" ht="36.75" x14ac:dyDescent="0.3">
      <c r="A73" s="22">
        <v>69</v>
      </c>
      <c r="B73" s="23" t="s">
        <v>21</v>
      </c>
      <c r="C73" s="24" t="str">
        <f t="shared" si="5"/>
        <v>140102</v>
      </c>
      <c r="D73" s="24" t="str">
        <f>"14.140102/2024.00402/BNC"</f>
        <v>14.140102/2024.00402/BNC</v>
      </c>
      <c r="E73" s="24" t="str">
        <f>"140102240402"</f>
        <v>140102240402</v>
      </c>
      <c r="F73" s="24" t="str">
        <f>"ESFIGMOMANOMETRO"</f>
        <v>ESFIGMOMANOMETRO</v>
      </c>
      <c r="G73" s="24" t="s">
        <v>14</v>
      </c>
      <c r="H73" s="24" t="s">
        <v>15</v>
      </c>
      <c r="I73" s="27">
        <v>1</v>
      </c>
      <c r="J73" s="26" t="s">
        <v>16</v>
      </c>
      <c r="K73" s="10">
        <v>30</v>
      </c>
    </row>
    <row r="74" spans="1:11" ht="36.75" x14ac:dyDescent="0.3">
      <c r="A74" s="22">
        <v>70</v>
      </c>
      <c r="B74" s="23" t="s">
        <v>22</v>
      </c>
      <c r="C74" s="24" t="str">
        <f t="shared" ref="C74:C137" si="6">"140502"</f>
        <v>140502</v>
      </c>
      <c r="D74" s="24" t="str">
        <f>"14.140502/2024.00815/BNC"</f>
        <v>14.140502/2024.00815/BNC</v>
      </c>
      <c r="E74" s="24" t="str">
        <f>"140502240815"</f>
        <v>140502240815</v>
      </c>
      <c r="F74" s="24" t="str">
        <f>"LIBROS DE CONSULTA"</f>
        <v>LIBROS DE CONSULTA</v>
      </c>
      <c r="G74" s="24" t="s">
        <v>14</v>
      </c>
      <c r="H74" s="24" t="s">
        <v>15</v>
      </c>
      <c r="I74" s="25">
        <v>1</v>
      </c>
      <c r="J74" s="26" t="s">
        <v>16</v>
      </c>
      <c r="K74" s="10">
        <v>30</v>
      </c>
    </row>
    <row r="75" spans="1:11" ht="36.75" x14ac:dyDescent="0.3">
      <c r="A75" s="22">
        <v>71</v>
      </c>
      <c r="B75" s="23" t="s">
        <v>22</v>
      </c>
      <c r="C75" s="24" t="str">
        <f t="shared" si="6"/>
        <v>140502</v>
      </c>
      <c r="D75" s="24" t="str">
        <f>"14.140502/2024.00816/BNC"</f>
        <v>14.140502/2024.00816/BNC</v>
      </c>
      <c r="E75" s="24" t="str">
        <f>"140502240816"</f>
        <v>140502240816</v>
      </c>
      <c r="F75" s="24" t="str">
        <f>"LIBROS DE CONSULTA"</f>
        <v>LIBROS DE CONSULTA</v>
      </c>
      <c r="G75" s="24" t="s">
        <v>14</v>
      </c>
      <c r="H75" s="24" t="s">
        <v>15</v>
      </c>
      <c r="I75" s="25">
        <v>1</v>
      </c>
      <c r="J75" s="26" t="s">
        <v>16</v>
      </c>
      <c r="K75" s="10">
        <v>30</v>
      </c>
    </row>
    <row r="76" spans="1:11" ht="36.75" x14ac:dyDescent="0.3">
      <c r="A76" s="22">
        <v>72</v>
      </c>
      <c r="B76" s="23" t="s">
        <v>22</v>
      </c>
      <c r="C76" s="24" t="str">
        <f t="shared" si="6"/>
        <v>140502</v>
      </c>
      <c r="D76" s="24" t="str">
        <f>"14.140502/2024.00817/BNC"</f>
        <v>14.140502/2024.00817/BNC</v>
      </c>
      <c r="E76" s="24" t="str">
        <f>"140502240817"</f>
        <v>140502240817</v>
      </c>
      <c r="F76" s="24" t="str">
        <f>"LIBROS DE CONSULTA"</f>
        <v>LIBROS DE CONSULTA</v>
      </c>
      <c r="G76" s="24" t="s">
        <v>14</v>
      </c>
      <c r="H76" s="24" t="s">
        <v>15</v>
      </c>
      <c r="I76" s="25">
        <v>1</v>
      </c>
      <c r="J76" s="26" t="s">
        <v>16</v>
      </c>
      <c r="K76" s="10">
        <v>30</v>
      </c>
    </row>
    <row r="77" spans="1:11" ht="36.75" x14ac:dyDescent="0.3">
      <c r="A77" s="22">
        <v>73</v>
      </c>
      <c r="B77" s="23" t="s">
        <v>22</v>
      </c>
      <c r="C77" s="24" t="str">
        <f t="shared" si="6"/>
        <v>140502</v>
      </c>
      <c r="D77" s="24" t="str">
        <f>"14.140502/2024.00818/BNC"</f>
        <v>14.140502/2024.00818/BNC</v>
      </c>
      <c r="E77" s="24" t="str">
        <f>"140502240818"</f>
        <v>140502240818</v>
      </c>
      <c r="F77" s="24" t="str">
        <f>"VIDEO CASETERA"</f>
        <v>VIDEO CASETERA</v>
      </c>
      <c r="G77" s="24" t="s">
        <v>14</v>
      </c>
      <c r="H77" s="24" t="s">
        <v>15</v>
      </c>
      <c r="I77" s="25">
        <v>1</v>
      </c>
      <c r="J77" s="26" t="s">
        <v>16</v>
      </c>
      <c r="K77" s="10">
        <v>20</v>
      </c>
    </row>
    <row r="78" spans="1:11" ht="36.75" x14ac:dyDescent="0.3">
      <c r="A78" s="22">
        <v>74</v>
      </c>
      <c r="B78" s="23" t="s">
        <v>22</v>
      </c>
      <c r="C78" s="24" t="str">
        <f t="shared" si="6"/>
        <v>140502</v>
      </c>
      <c r="D78" s="24" t="str">
        <f>"14.140502/2024.00819/BNC"</f>
        <v>14.140502/2024.00819/BNC</v>
      </c>
      <c r="E78" s="24" t="str">
        <f>"140502240819"</f>
        <v>140502240819</v>
      </c>
      <c r="F78" s="24" t="str">
        <f>"CARGADOR RAPIDO STEREN"</f>
        <v>CARGADOR RAPIDO STEREN</v>
      </c>
      <c r="G78" s="24" t="s">
        <v>14</v>
      </c>
      <c r="H78" s="24" t="s">
        <v>15</v>
      </c>
      <c r="I78" s="25">
        <v>1</v>
      </c>
      <c r="J78" s="26" t="s">
        <v>16</v>
      </c>
      <c r="K78" s="10">
        <v>5</v>
      </c>
    </row>
    <row r="79" spans="1:11" ht="36.75" x14ac:dyDescent="0.3">
      <c r="A79" s="22">
        <v>75</v>
      </c>
      <c r="B79" s="23" t="s">
        <v>22</v>
      </c>
      <c r="C79" s="24" t="str">
        <f t="shared" si="6"/>
        <v>140502</v>
      </c>
      <c r="D79" s="24" t="str">
        <f>"14.140502/2024.00820/BNC"</f>
        <v>14.140502/2024.00820/BNC</v>
      </c>
      <c r="E79" s="24" t="str">
        <f>"140502240820"</f>
        <v>140502240820</v>
      </c>
      <c r="F79" s="24" t="str">
        <f>"CARGADOR RAPIDO STEREN"</f>
        <v>CARGADOR RAPIDO STEREN</v>
      </c>
      <c r="G79" s="24" t="s">
        <v>14</v>
      </c>
      <c r="H79" s="24" t="s">
        <v>15</v>
      </c>
      <c r="I79" s="25">
        <v>1</v>
      </c>
      <c r="J79" s="26" t="s">
        <v>16</v>
      </c>
      <c r="K79" s="10">
        <v>5</v>
      </c>
    </row>
    <row r="80" spans="1:11" ht="36.75" x14ac:dyDescent="0.3">
      <c r="A80" s="22">
        <v>76</v>
      </c>
      <c r="B80" s="23" t="s">
        <v>22</v>
      </c>
      <c r="C80" s="24" t="str">
        <f t="shared" si="6"/>
        <v>140502</v>
      </c>
      <c r="D80" s="24" t="str">
        <f>"14.140502/2024.00821/BNC"</f>
        <v>14.140502/2024.00821/BNC</v>
      </c>
      <c r="E80" s="24" t="str">
        <f>"140502240821"</f>
        <v>140502240821</v>
      </c>
      <c r="F80" s="24" t="str">
        <f>"CARGADOR RAPIDO STEREN"</f>
        <v>CARGADOR RAPIDO STEREN</v>
      </c>
      <c r="G80" s="24" t="s">
        <v>14</v>
      </c>
      <c r="H80" s="24" t="s">
        <v>15</v>
      </c>
      <c r="I80" s="25">
        <v>1</v>
      </c>
      <c r="J80" s="26" t="s">
        <v>16</v>
      </c>
      <c r="K80" s="10">
        <v>5</v>
      </c>
    </row>
    <row r="81" spans="1:11" ht="36.75" x14ac:dyDescent="0.3">
      <c r="A81" s="22">
        <v>77</v>
      </c>
      <c r="B81" s="23" t="s">
        <v>22</v>
      </c>
      <c r="C81" s="24" t="str">
        <f t="shared" si="6"/>
        <v>140502</v>
      </c>
      <c r="D81" s="24" t="str">
        <f>"14.140502/2024.00822/BNC"</f>
        <v>14.140502/2024.00822/BNC</v>
      </c>
      <c r="E81" s="24" t="str">
        <f>"140502240822"</f>
        <v>140502240822</v>
      </c>
      <c r="F81" s="24" t="str">
        <f>"CARGADOR RAPIDO STEREN"</f>
        <v>CARGADOR RAPIDO STEREN</v>
      </c>
      <c r="G81" s="24" t="s">
        <v>14</v>
      </c>
      <c r="H81" s="24" t="s">
        <v>15</v>
      </c>
      <c r="I81" s="25">
        <v>1</v>
      </c>
      <c r="J81" s="26" t="s">
        <v>16</v>
      </c>
      <c r="K81" s="10">
        <v>20</v>
      </c>
    </row>
    <row r="82" spans="1:11" ht="36.75" x14ac:dyDescent="0.3">
      <c r="A82" s="22">
        <v>78</v>
      </c>
      <c r="B82" s="23" t="s">
        <v>22</v>
      </c>
      <c r="C82" s="24" t="str">
        <f t="shared" si="6"/>
        <v>140502</v>
      </c>
      <c r="D82" s="24" t="str">
        <f>"14.140502/2024.00823/BNC"</f>
        <v>14.140502/2024.00823/BNC</v>
      </c>
      <c r="E82" s="24" t="str">
        <f>"140502240823"</f>
        <v>140502240823</v>
      </c>
      <c r="F82" s="24" t="str">
        <f>"AMPLIFICADOR CM DIVISOR"</f>
        <v>AMPLIFICADOR CM DIVISOR</v>
      </c>
      <c r="G82" s="24" t="s">
        <v>14</v>
      </c>
      <c r="H82" s="24" t="s">
        <v>15</v>
      </c>
      <c r="I82" s="25">
        <v>1</v>
      </c>
      <c r="J82" s="26" t="s">
        <v>16</v>
      </c>
      <c r="K82" s="10">
        <v>20</v>
      </c>
    </row>
    <row r="83" spans="1:11" ht="36.75" x14ac:dyDescent="0.3">
      <c r="A83" s="22">
        <v>79</v>
      </c>
      <c r="B83" s="23" t="s">
        <v>22</v>
      </c>
      <c r="C83" s="24" t="str">
        <f t="shared" si="6"/>
        <v>140502</v>
      </c>
      <c r="D83" s="24" t="str">
        <f>"14.140502/2024.00824/BNC"</f>
        <v>14.140502/2024.00824/BNC</v>
      </c>
      <c r="E83" s="24" t="str">
        <f>"140502240824"</f>
        <v>140502240824</v>
      </c>
      <c r="F83" s="24" t="str">
        <f>"PODIUM AZUL"</f>
        <v>PODIUM AZUL</v>
      </c>
      <c r="G83" s="24" t="s">
        <v>14</v>
      </c>
      <c r="H83" s="24" t="s">
        <v>15</v>
      </c>
      <c r="I83" s="25">
        <v>1</v>
      </c>
      <c r="J83" s="26" t="s">
        <v>16</v>
      </c>
      <c r="K83" s="10">
        <v>35</v>
      </c>
    </row>
    <row r="84" spans="1:11" ht="36.75" x14ac:dyDescent="0.3">
      <c r="A84" s="22">
        <v>80</v>
      </c>
      <c r="B84" s="23" t="s">
        <v>22</v>
      </c>
      <c r="C84" s="24" t="str">
        <f t="shared" si="6"/>
        <v>140502</v>
      </c>
      <c r="D84" s="24" t="str">
        <f>"14.140502/2024.00825/BNC"</f>
        <v>14.140502/2024.00825/BNC</v>
      </c>
      <c r="E84" s="24" t="str">
        <f>"140502240825"</f>
        <v>140502240825</v>
      </c>
      <c r="F84" s="24" t="str">
        <f>"RECEPTOR SHURE"</f>
        <v>RECEPTOR SHURE</v>
      </c>
      <c r="G84" s="24" t="s">
        <v>14</v>
      </c>
      <c r="H84" s="24" t="s">
        <v>15</v>
      </c>
      <c r="I84" s="25">
        <v>1</v>
      </c>
      <c r="J84" s="26" t="s">
        <v>16</v>
      </c>
      <c r="K84" s="10">
        <v>5</v>
      </c>
    </row>
    <row r="85" spans="1:11" ht="36.75" x14ac:dyDescent="0.3">
      <c r="A85" s="22">
        <v>81</v>
      </c>
      <c r="B85" s="23" t="s">
        <v>22</v>
      </c>
      <c r="C85" s="24" t="str">
        <f t="shared" si="6"/>
        <v>140502</v>
      </c>
      <c r="D85" s="24" t="str">
        <f>"14.140502/2024.00826/BNC"</f>
        <v>14.140502/2024.00826/BNC</v>
      </c>
      <c r="E85" s="24" t="str">
        <f>"140502240826"</f>
        <v>140502240826</v>
      </c>
      <c r="F85" s="24" t="str">
        <f>"RECEPTOR SHURE"</f>
        <v>RECEPTOR SHURE</v>
      </c>
      <c r="G85" s="24" t="s">
        <v>14</v>
      </c>
      <c r="H85" s="24" t="s">
        <v>15</v>
      </c>
      <c r="I85" s="25">
        <v>1</v>
      </c>
      <c r="J85" s="26" t="s">
        <v>16</v>
      </c>
      <c r="K85" s="10">
        <v>5</v>
      </c>
    </row>
    <row r="86" spans="1:11" ht="36.75" x14ac:dyDescent="0.3">
      <c r="A86" s="22">
        <v>82</v>
      </c>
      <c r="B86" s="23" t="s">
        <v>22</v>
      </c>
      <c r="C86" s="24" t="str">
        <f t="shared" si="6"/>
        <v>140502</v>
      </c>
      <c r="D86" s="24" t="str">
        <f>"14.140502/2024.00827/BNC"</f>
        <v>14.140502/2024.00827/BNC</v>
      </c>
      <c r="E86" s="24" t="str">
        <f>"140502240827"</f>
        <v>140502240827</v>
      </c>
      <c r="F86" s="24" t="str">
        <f>"PROYECTOR NEC"</f>
        <v>PROYECTOR NEC</v>
      </c>
      <c r="G86" s="24" t="s">
        <v>14</v>
      </c>
      <c r="H86" s="24" t="s">
        <v>15</v>
      </c>
      <c r="I86" s="25">
        <v>1</v>
      </c>
      <c r="J86" s="26" t="s">
        <v>16</v>
      </c>
      <c r="K86" s="10">
        <v>20</v>
      </c>
    </row>
    <row r="87" spans="1:11" ht="36.75" x14ac:dyDescent="0.3">
      <c r="A87" s="22">
        <v>83</v>
      </c>
      <c r="B87" s="23" t="s">
        <v>22</v>
      </c>
      <c r="C87" s="24" t="str">
        <f t="shared" si="6"/>
        <v>140502</v>
      </c>
      <c r="D87" s="24" t="str">
        <f>"14.140502/2024.00828/BNC"</f>
        <v>14.140502/2024.00828/BNC</v>
      </c>
      <c r="E87" s="24" t="str">
        <f>"140502240828"</f>
        <v>140502240828</v>
      </c>
      <c r="F87" s="24" t="str">
        <f>"PROYECTOR"</f>
        <v>PROYECTOR</v>
      </c>
      <c r="G87" s="24" t="s">
        <v>14</v>
      </c>
      <c r="H87" s="24" t="s">
        <v>15</v>
      </c>
      <c r="I87" s="25">
        <v>1</v>
      </c>
      <c r="J87" s="26" t="s">
        <v>16</v>
      </c>
      <c r="K87" s="10">
        <v>20</v>
      </c>
    </row>
    <row r="88" spans="1:11" ht="36.75" x14ac:dyDescent="0.3">
      <c r="A88" s="22">
        <v>84</v>
      </c>
      <c r="B88" s="23" t="s">
        <v>22</v>
      </c>
      <c r="C88" s="24" t="str">
        <f t="shared" si="6"/>
        <v>140502</v>
      </c>
      <c r="D88" s="24" t="str">
        <f>"14.140502/2024.00829/BNC"</f>
        <v>14.140502/2024.00829/BNC</v>
      </c>
      <c r="E88" s="24" t="str">
        <f>"140502240829"</f>
        <v>140502240829</v>
      </c>
      <c r="F88" s="24" t="str">
        <f>"PROYECTOR"</f>
        <v>PROYECTOR</v>
      </c>
      <c r="G88" s="24" t="s">
        <v>14</v>
      </c>
      <c r="H88" s="24" t="s">
        <v>15</v>
      </c>
      <c r="I88" s="25">
        <v>1</v>
      </c>
      <c r="J88" s="26" t="s">
        <v>16</v>
      </c>
      <c r="K88" s="10">
        <v>20</v>
      </c>
    </row>
    <row r="89" spans="1:11" ht="36.75" x14ac:dyDescent="0.3">
      <c r="A89" s="22">
        <v>85</v>
      </c>
      <c r="B89" s="23" t="s">
        <v>22</v>
      </c>
      <c r="C89" s="24" t="str">
        <f t="shared" si="6"/>
        <v>140502</v>
      </c>
      <c r="D89" s="24" t="str">
        <f>"14.140502/2024.00830/BNC"</f>
        <v>14.140502/2024.00830/BNC</v>
      </c>
      <c r="E89" s="24" t="str">
        <f>"140502240830"</f>
        <v>140502240830</v>
      </c>
      <c r="F89" s="24" t="str">
        <f>"REFRIGERADOR DOMESTICO"</f>
        <v>REFRIGERADOR DOMESTICO</v>
      </c>
      <c r="G89" s="24" t="s">
        <v>14</v>
      </c>
      <c r="H89" s="24" t="s">
        <v>15</v>
      </c>
      <c r="I89" s="25">
        <v>1</v>
      </c>
      <c r="J89" s="26" t="s">
        <v>16</v>
      </c>
      <c r="K89" s="10">
        <v>80</v>
      </c>
    </row>
    <row r="90" spans="1:11" ht="36.75" x14ac:dyDescent="0.3">
      <c r="A90" s="22">
        <v>86</v>
      </c>
      <c r="B90" s="23" t="s">
        <v>22</v>
      </c>
      <c r="C90" s="24" t="str">
        <f t="shared" si="6"/>
        <v>140502</v>
      </c>
      <c r="D90" s="24" t="str">
        <f>"14.140502/2024.00831/BNC"</f>
        <v>14.140502/2024.00831/BNC</v>
      </c>
      <c r="E90" s="24" t="str">
        <f>"140502240831"</f>
        <v>140502240831</v>
      </c>
      <c r="F90" s="24" t="str">
        <f>"VITRINA DE MADERA"</f>
        <v>VITRINA DE MADERA</v>
      </c>
      <c r="G90" s="24" t="s">
        <v>14</v>
      </c>
      <c r="H90" s="24" t="s">
        <v>15</v>
      </c>
      <c r="I90" s="25">
        <v>1</v>
      </c>
      <c r="J90" s="26" t="s">
        <v>16</v>
      </c>
      <c r="K90" s="10">
        <v>40</v>
      </c>
    </row>
    <row r="91" spans="1:11" ht="36.75" x14ac:dyDescent="0.3">
      <c r="A91" s="22">
        <v>87</v>
      </c>
      <c r="B91" s="23" t="s">
        <v>22</v>
      </c>
      <c r="C91" s="24" t="str">
        <f t="shared" si="6"/>
        <v>140502</v>
      </c>
      <c r="D91" s="24" t="str">
        <f>"14.140502/2024.00832/BNC"</f>
        <v>14.140502/2024.00832/BNC</v>
      </c>
      <c r="E91" s="24" t="str">
        <f>"140502240832"</f>
        <v>140502240832</v>
      </c>
      <c r="F91" s="24" t="str">
        <f>"MUEBLE DE MADERA PARA PC"</f>
        <v>MUEBLE DE MADERA PARA PC</v>
      </c>
      <c r="G91" s="24" t="s">
        <v>14</v>
      </c>
      <c r="H91" s="24" t="s">
        <v>15</v>
      </c>
      <c r="I91" s="25">
        <v>1</v>
      </c>
      <c r="J91" s="26" t="s">
        <v>16</v>
      </c>
      <c r="K91" s="10">
        <v>40</v>
      </c>
    </row>
    <row r="92" spans="1:11" ht="36.75" x14ac:dyDescent="0.3">
      <c r="A92" s="22">
        <v>88</v>
      </c>
      <c r="B92" s="23" t="s">
        <v>22</v>
      </c>
      <c r="C92" s="24" t="str">
        <f t="shared" si="6"/>
        <v>140502</v>
      </c>
      <c r="D92" s="24" t="str">
        <f>"14.140502/2024.00833/BNC"</f>
        <v>14.140502/2024.00833/BNC</v>
      </c>
      <c r="E92" s="24" t="str">
        <f>"140502240833"</f>
        <v>140502240833</v>
      </c>
      <c r="F92" s="24" t="str">
        <f>"NEGATOSCOPIO"</f>
        <v>NEGATOSCOPIO</v>
      </c>
      <c r="G92" s="24" t="s">
        <v>14</v>
      </c>
      <c r="H92" s="24" t="s">
        <v>15</v>
      </c>
      <c r="I92" s="25">
        <v>1</v>
      </c>
      <c r="J92" s="26" t="s">
        <v>16</v>
      </c>
      <c r="K92" s="10">
        <v>10</v>
      </c>
    </row>
    <row r="93" spans="1:11" ht="36.75" x14ac:dyDescent="0.3">
      <c r="A93" s="22">
        <v>89</v>
      </c>
      <c r="B93" s="23" t="s">
        <v>22</v>
      </c>
      <c r="C93" s="24" t="str">
        <f t="shared" si="6"/>
        <v>140502</v>
      </c>
      <c r="D93" s="24" t="str">
        <f>"14.140502/2024.00834/BNC"</f>
        <v>14.140502/2024.00834/BNC</v>
      </c>
      <c r="E93" s="24" t="str">
        <f>"140502240834"</f>
        <v>140502240834</v>
      </c>
      <c r="F93" s="24" t="str">
        <f t="shared" ref="F93:F112" si="7">"SILLA FIJA APILABLE"</f>
        <v>SILLA FIJA APILABLE</v>
      </c>
      <c r="G93" s="24" t="s">
        <v>14</v>
      </c>
      <c r="H93" s="24" t="s">
        <v>15</v>
      </c>
      <c r="I93" s="25">
        <v>1</v>
      </c>
      <c r="J93" s="26" t="s">
        <v>16</v>
      </c>
      <c r="K93" s="10">
        <v>25</v>
      </c>
    </row>
    <row r="94" spans="1:11" ht="36.75" x14ac:dyDescent="0.3">
      <c r="A94" s="22">
        <v>90</v>
      </c>
      <c r="B94" s="23" t="s">
        <v>22</v>
      </c>
      <c r="C94" s="24" t="str">
        <f t="shared" si="6"/>
        <v>140502</v>
      </c>
      <c r="D94" s="24" t="str">
        <f>"14.140502/2024.00835/BNC"</f>
        <v>14.140502/2024.00835/BNC</v>
      </c>
      <c r="E94" s="24" t="str">
        <f>"140502240835"</f>
        <v>140502240835</v>
      </c>
      <c r="F94" s="24" t="str">
        <f t="shared" si="7"/>
        <v>SILLA FIJA APILABLE</v>
      </c>
      <c r="G94" s="24" t="s">
        <v>14</v>
      </c>
      <c r="H94" s="24" t="s">
        <v>15</v>
      </c>
      <c r="I94" s="25">
        <v>1</v>
      </c>
      <c r="J94" s="26" t="s">
        <v>16</v>
      </c>
      <c r="K94" s="10">
        <v>25</v>
      </c>
    </row>
    <row r="95" spans="1:11" ht="36.75" x14ac:dyDescent="0.3">
      <c r="A95" s="22">
        <v>91</v>
      </c>
      <c r="B95" s="23" t="s">
        <v>22</v>
      </c>
      <c r="C95" s="24" t="str">
        <f t="shared" si="6"/>
        <v>140502</v>
      </c>
      <c r="D95" s="24" t="str">
        <f>"14.140502/2024.00836/BNC"</f>
        <v>14.140502/2024.00836/BNC</v>
      </c>
      <c r="E95" s="24" t="str">
        <f>"140502240836"</f>
        <v>140502240836</v>
      </c>
      <c r="F95" s="24" t="str">
        <f t="shared" si="7"/>
        <v>SILLA FIJA APILABLE</v>
      </c>
      <c r="G95" s="24" t="s">
        <v>14</v>
      </c>
      <c r="H95" s="24" t="s">
        <v>15</v>
      </c>
      <c r="I95" s="25">
        <v>1</v>
      </c>
      <c r="J95" s="26" t="s">
        <v>16</v>
      </c>
      <c r="K95" s="10">
        <v>25</v>
      </c>
    </row>
    <row r="96" spans="1:11" ht="36.75" x14ac:dyDescent="0.3">
      <c r="A96" s="22">
        <v>92</v>
      </c>
      <c r="B96" s="23" t="s">
        <v>22</v>
      </c>
      <c r="C96" s="24" t="str">
        <f t="shared" si="6"/>
        <v>140502</v>
      </c>
      <c r="D96" s="24" t="str">
        <f>"14.140502/2024.00837/BNC"</f>
        <v>14.140502/2024.00837/BNC</v>
      </c>
      <c r="E96" s="24" t="str">
        <f>"140502240837"</f>
        <v>140502240837</v>
      </c>
      <c r="F96" s="24" t="str">
        <f t="shared" si="7"/>
        <v>SILLA FIJA APILABLE</v>
      </c>
      <c r="G96" s="24" t="s">
        <v>14</v>
      </c>
      <c r="H96" s="24" t="s">
        <v>15</v>
      </c>
      <c r="I96" s="25">
        <v>1</v>
      </c>
      <c r="J96" s="26" t="s">
        <v>16</v>
      </c>
      <c r="K96" s="10">
        <v>25</v>
      </c>
    </row>
    <row r="97" spans="1:11" ht="36.75" x14ac:dyDescent="0.3">
      <c r="A97" s="22">
        <v>93</v>
      </c>
      <c r="B97" s="23" t="s">
        <v>22</v>
      </c>
      <c r="C97" s="24" t="str">
        <f t="shared" si="6"/>
        <v>140502</v>
      </c>
      <c r="D97" s="24" t="str">
        <f>"14.140502/2024.00838/BNC"</f>
        <v>14.140502/2024.00838/BNC</v>
      </c>
      <c r="E97" s="24" t="str">
        <f>"140502240838"</f>
        <v>140502240838</v>
      </c>
      <c r="F97" s="24" t="str">
        <f t="shared" si="7"/>
        <v>SILLA FIJA APILABLE</v>
      </c>
      <c r="G97" s="24" t="s">
        <v>14</v>
      </c>
      <c r="H97" s="24" t="s">
        <v>15</v>
      </c>
      <c r="I97" s="25">
        <v>1</v>
      </c>
      <c r="J97" s="26" t="s">
        <v>16</v>
      </c>
      <c r="K97" s="10">
        <v>25</v>
      </c>
    </row>
    <row r="98" spans="1:11" ht="36.75" x14ac:dyDescent="0.3">
      <c r="A98" s="22">
        <v>94</v>
      </c>
      <c r="B98" s="23" t="s">
        <v>22</v>
      </c>
      <c r="C98" s="24" t="str">
        <f t="shared" si="6"/>
        <v>140502</v>
      </c>
      <c r="D98" s="24" t="str">
        <f>"14.140502/2024.00839/BNC"</f>
        <v>14.140502/2024.00839/BNC</v>
      </c>
      <c r="E98" s="24" t="str">
        <f>"140502240839"</f>
        <v>140502240839</v>
      </c>
      <c r="F98" s="24" t="str">
        <f t="shared" si="7"/>
        <v>SILLA FIJA APILABLE</v>
      </c>
      <c r="G98" s="24" t="s">
        <v>14</v>
      </c>
      <c r="H98" s="24" t="s">
        <v>15</v>
      </c>
      <c r="I98" s="25">
        <v>1</v>
      </c>
      <c r="J98" s="26" t="s">
        <v>16</v>
      </c>
      <c r="K98" s="10">
        <v>25</v>
      </c>
    </row>
    <row r="99" spans="1:11" ht="36.75" x14ac:dyDescent="0.3">
      <c r="A99" s="22">
        <v>95</v>
      </c>
      <c r="B99" s="23" t="s">
        <v>22</v>
      </c>
      <c r="C99" s="24" t="str">
        <f t="shared" si="6"/>
        <v>140502</v>
      </c>
      <c r="D99" s="24" t="str">
        <f>"14.140502/2024.00840/BNC"</f>
        <v>14.140502/2024.00840/BNC</v>
      </c>
      <c r="E99" s="24" t="str">
        <f>"140502240840"</f>
        <v>140502240840</v>
      </c>
      <c r="F99" s="24" t="str">
        <f t="shared" si="7"/>
        <v>SILLA FIJA APILABLE</v>
      </c>
      <c r="G99" s="24" t="s">
        <v>14</v>
      </c>
      <c r="H99" s="24" t="s">
        <v>15</v>
      </c>
      <c r="I99" s="25">
        <v>1</v>
      </c>
      <c r="J99" s="26" t="s">
        <v>16</v>
      </c>
      <c r="K99" s="10">
        <v>25</v>
      </c>
    </row>
    <row r="100" spans="1:11" ht="36.75" x14ac:dyDescent="0.3">
      <c r="A100" s="22">
        <v>96</v>
      </c>
      <c r="B100" s="23" t="s">
        <v>22</v>
      </c>
      <c r="C100" s="24" t="str">
        <f t="shared" si="6"/>
        <v>140502</v>
      </c>
      <c r="D100" s="24" t="str">
        <f>"14.140502/2024.00841/BNC"</f>
        <v>14.140502/2024.00841/BNC</v>
      </c>
      <c r="E100" s="24" t="str">
        <f>"140502240841"</f>
        <v>140502240841</v>
      </c>
      <c r="F100" s="24" t="str">
        <f t="shared" si="7"/>
        <v>SILLA FIJA APILABLE</v>
      </c>
      <c r="G100" s="24" t="s">
        <v>14</v>
      </c>
      <c r="H100" s="24" t="s">
        <v>15</v>
      </c>
      <c r="I100" s="25">
        <v>1</v>
      </c>
      <c r="J100" s="26" t="s">
        <v>16</v>
      </c>
      <c r="K100" s="10">
        <v>25</v>
      </c>
    </row>
    <row r="101" spans="1:11" ht="36.75" x14ac:dyDescent="0.3">
      <c r="A101" s="22">
        <v>97</v>
      </c>
      <c r="B101" s="23" t="s">
        <v>22</v>
      </c>
      <c r="C101" s="24" t="str">
        <f t="shared" si="6"/>
        <v>140502</v>
      </c>
      <c r="D101" s="24" t="str">
        <f>"14.140502/2024.00842/BNC"</f>
        <v>14.140502/2024.00842/BNC</v>
      </c>
      <c r="E101" s="24" t="str">
        <f>"140502240842"</f>
        <v>140502240842</v>
      </c>
      <c r="F101" s="24" t="str">
        <f t="shared" si="7"/>
        <v>SILLA FIJA APILABLE</v>
      </c>
      <c r="G101" s="24" t="s">
        <v>14</v>
      </c>
      <c r="H101" s="24" t="s">
        <v>15</v>
      </c>
      <c r="I101" s="25">
        <v>1</v>
      </c>
      <c r="J101" s="26" t="s">
        <v>16</v>
      </c>
      <c r="K101" s="10">
        <v>25</v>
      </c>
    </row>
    <row r="102" spans="1:11" ht="36.75" x14ac:dyDescent="0.3">
      <c r="A102" s="22">
        <v>98</v>
      </c>
      <c r="B102" s="23" t="s">
        <v>22</v>
      </c>
      <c r="C102" s="24" t="str">
        <f t="shared" si="6"/>
        <v>140502</v>
      </c>
      <c r="D102" s="24" t="str">
        <f>"14.140502/2024.00843/BNC"</f>
        <v>14.140502/2024.00843/BNC</v>
      </c>
      <c r="E102" s="24" t="str">
        <f>"140502240843"</f>
        <v>140502240843</v>
      </c>
      <c r="F102" s="24" t="str">
        <f t="shared" si="7"/>
        <v>SILLA FIJA APILABLE</v>
      </c>
      <c r="G102" s="24" t="s">
        <v>14</v>
      </c>
      <c r="H102" s="24" t="s">
        <v>15</v>
      </c>
      <c r="I102" s="25">
        <v>1</v>
      </c>
      <c r="J102" s="26" t="s">
        <v>16</v>
      </c>
      <c r="K102" s="10">
        <v>25</v>
      </c>
    </row>
    <row r="103" spans="1:11" ht="36.75" x14ac:dyDescent="0.3">
      <c r="A103" s="22">
        <v>99</v>
      </c>
      <c r="B103" s="23" t="s">
        <v>22</v>
      </c>
      <c r="C103" s="24" t="str">
        <f t="shared" si="6"/>
        <v>140502</v>
      </c>
      <c r="D103" s="24" t="str">
        <f>"14.140502/2024.00844/BNC"</f>
        <v>14.140502/2024.00844/BNC</v>
      </c>
      <c r="E103" s="24" t="str">
        <f>"140502240844"</f>
        <v>140502240844</v>
      </c>
      <c r="F103" s="24" t="str">
        <f t="shared" si="7"/>
        <v>SILLA FIJA APILABLE</v>
      </c>
      <c r="G103" s="24" t="s">
        <v>14</v>
      </c>
      <c r="H103" s="24" t="s">
        <v>15</v>
      </c>
      <c r="I103" s="25">
        <v>1</v>
      </c>
      <c r="J103" s="26" t="s">
        <v>16</v>
      </c>
      <c r="K103" s="10">
        <v>25</v>
      </c>
    </row>
    <row r="104" spans="1:11" ht="36.75" x14ac:dyDescent="0.3">
      <c r="A104" s="22">
        <v>100</v>
      </c>
      <c r="B104" s="23" t="s">
        <v>22</v>
      </c>
      <c r="C104" s="24" t="str">
        <f t="shared" si="6"/>
        <v>140502</v>
      </c>
      <c r="D104" s="24" t="str">
        <f>"14.140502/2024.00845/BNC"</f>
        <v>14.140502/2024.00845/BNC</v>
      </c>
      <c r="E104" s="24" t="str">
        <f>"140502240845"</f>
        <v>140502240845</v>
      </c>
      <c r="F104" s="24" t="str">
        <f t="shared" si="7"/>
        <v>SILLA FIJA APILABLE</v>
      </c>
      <c r="G104" s="24" t="s">
        <v>14</v>
      </c>
      <c r="H104" s="24" t="s">
        <v>15</v>
      </c>
      <c r="I104" s="25">
        <v>1</v>
      </c>
      <c r="J104" s="26" t="s">
        <v>16</v>
      </c>
      <c r="K104" s="10">
        <v>25</v>
      </c>
    </row>
    <row r="105" spans="1:11" ht="36.75" x14ac:dyDescent="0.3">
      <c r="A105" s="22">
        <v>101</v>
      </c>
      <c r="B105" s="23" t="s">
        <v>22</v>
      </c>
      <c r="C105" s="24" t="str">
        <f t="shared" si="6"/>
        <v>140502</v>
      </c>
      <c r="D105" s="24" t="str">
        <f>"14.140502/2024.00846/BNC"</f>
        <v>14.140502/2024.00846/BNC</v>
      </c>
      <c r="E105" s="24" t="str">
        <f>"140502240846"</f>
        <v>140502240846</v>
      </c>
      <c r="F105" s="24" t="str">
        <f t="shared" si="7"/>
        <v>SILLA FIJA APILABLE</v>
      </c>
      <c r="G105" s="24" t="s">
        <v>14</v>
      </c>
      <c r="H105" s="24" t="s">
        <v>15</v>
      </c>
      <c r="I105" s="25">
        <v>1</v>
      </c>
      <c r="J105" s="26" t="s">
        <v>16</v>
      </c>
      <c r="K105" s="10">
        <v>25</v>
      </c>
    </row>
    <row r="106" spans="1:11" ht="36.75" x14ac:dyDescent="0.3">
      <c r="A106" s="22">
        <v>102</v>
      </c>
      <c r="B106" s="23" t="s">
        <v>22</v>
      </c>
      <c r="C106" s="24" t="str">
        <f t="shared" si="6"/>
        <v>140502</v>
      </c>
      <c r="D106" s="24" t="str">
        <f>"14.140502/2024.00847/BNC"</f>
        <v>14.140502/2024.00847/BNC</v>
      </c>
      <c r="E106" s="24" t="str">
        <f>"140502240847"</f>
        <v>140502240847</v>
      </c>
      <c r="F106" s="24" t="str">
        <f t="shared" si="7"/>
        <v>SILLA FIJA APILABLE</v>
      </c>
      <c r="G106" s="24" t="s">
        <v>14</v>
      </c>
      <c r="H106" s="24" t="s">
        <v>15</v>
      </c>
      <c r="I106" s="25">
        <v>1</v>
      </c>
      <c r="J106" s="26" t="s">
        <v>16</v>
      </c>
      <c r="K106" s="10">
        <v>25</v>
      </c>
    </row>
    <row r="107" spans="1:11" ht="36.75" x14ac:dyDescent="0.3">
      <c r="A107" s="22">
        <v>103</v>
      </c>
      <c r="B107" s="23" t="s">
        <v>22</v>
      </c>
      <c r="C107" s="24" t="str">
        <f t="shared" si="6"/>
        <v>140502</v>
      </c>
      <c r="D107" s="24" t="str">
        <f>"14.140502/2024.00848/BNC"</f>
        <v>14.140502/2024.00848/BNC</v>
      </c>
      <c r="E107" s="24" t="str">
        <f>"140502240848"</f>
        <v>140502240848</v>
      </c>
      <c r="F107" s="24" t="str">
        <f t="shared" si="7"/>
        <v>SILLA FIJA APILABLE</v>
      </c>
      <c r="G107" s="24" t="s">
        <v>14</v>
      </c>
      <c r="H107" s="24" t="s">
        <v>15</v>
      </c>
      <c r="I107" s="25">
        <v>1</v>
      </c>
      <c r="J107" s="26" t="s">
        <v>16</v>
      </c>
      <c r="K107" s="10">
        <v>25</v>
      </c>
    </row>
    <row r="108" spans="1:11" ht="36.75" x14ac:dyDescent="0.3">
      <c r="A108" s="22">
        <v>104</v>
      </c>
      <c r="B108" s="23" t="s">
        <v>22</v>
      </c>
      <c r="C108" s="24" t="str">
        <f t="shared" si="6"/>
        <v>140502</v>
      </c>
      <c r="D108" s="24" t="str">
        <f>"14.140502/2024.00849/BNC"</f>
        <v>14.140502/2024.00849/BNC</v>
      </c>
      <c r="E108" s="24" t="str">
        <f>"140502240849"</f>
        <v>140502240849</v>
      </c>
      <c r="F108" s="24" t="str">
        <f t="shared" si="7"/>
        <v>SILLA FIJA APILABLE</v>
      </c>
      <c r="G108" s="24" t="s">
        <v>14</v>
      </c>
      <c r="H108" s="24" t="s">
        <v>15</v>
      </c>
      <c r="I108" s="25">
        <v>1</v>
      </c>
      <c r="J108" s="26" t="s">
        <v>16</v>
      </c>
      <c r="K108" s="10">
        <v>25</v>
      </c>
    </row>
    <row r="109" spans="1:11" ht="36.75" x14ac:dyDescent="0.3">
      <c r="A109" s="22">
        <v>105</v>
      </c>
      <c r="B109" s="23" t="s">
        <v>22</v>
      </c>
      <c r="C109" s="24" t="str">
        <f t="shared" si="6"/>
        <v>140502</v>
      </c>
      <c r="D109" s="24" t="str">
        <f>"14.140502/2024.00850/BNC"</f>
        <v>14.140502/2024.00850/BNC</v>
      </c>
      <c r="E109" s="24" t="str">
        <f>"140502240850"</f>
        <v>140502240850</v>
      </c>
      <c r="F109" s="24" t="str">
        <f t="shared" si="7"/>
        <v>SILLA FIJA APILABLE</v>
      </c>
      <c r="G109" s="24" t="s">
        <v>14</v>
      </c>
      <c r="H109" s="24" t="s">
        <v>15</v>
      </c>
      <c r="I109" s="25">
        <v>1</v>
      </c>
      <c r="J109" s="26" t="s">
        <v>16</v>
      </c>
      <c r="K109" s="10">
        <v>25</v>
      </c>
    </row>
    <row r="110" spans="1:11" ht="36.75" x14ac:dyDescent="0.3">
      <c r="A110" s="22">
        <v>106</v>
      </c>
      <c r="B110" s="23" t="s">
        <v>22</v>
      </c>
      <c r="C110" s="24" t="str">
        <f t="shared" si="6"/>
        <v>140502</v>
      </c>
      <c r="D110" s="24" t="str">
        <f>"14.140502/2024.00851/BNC"</f>
        <v>14.140502/2024.00851/BNC</v>
      </c>
      <c r="E110" s="24" t="str">
        <f>"140502240851"</f>
        <v>140502240851</v>
      </c>
      <c r="F110" s="24" t="str">
        <f t="shared" si="7"/>
        <v>SILLA FIJA APILABLE</v>
      </c>
      <c r="G110" s="24" t="s">
        <v>14</v>
      </c>
      <c r="H110" s="24" t="s">
        <v>15</v>
      </c>
      <c r="I110" s="25">
        <v>1</v>
      </c>
      <c r="J110" s="26" t="s">
        <v>16</v>
      </c>
      <c r="K110" s="10">
        <v>25</v>
      </c>
    </row>
    <row r="111" spans="1:11" ht="36.75" x14ac:dyDescent="0.3">
      <c r="A111" s="22">
        <v>107</v>
      </c>
      <c r="B111" s="23" t="s">
        <v>22</v>
      </c>
      <c r="C111" s="24" t="str">
        <f t="shared" si="6"/>
        <v>140502</v>
      </c>
      <c r="D111" s="24" t="str">
        <f>"14.140502/2024.00852/BNC"</f>
        <v>14.140502/2024.00852/BNC</v>
      </c>
      <c r="E111" s="24" t="str">
        <f>"140502240852"</f>
        <v>140502240852</v>
      </c>
      <c r="F111" s="24" t="str">
        <f t="shared" si="7"/>
        <v>SILLA FIJA APILABLE</v>
      </c>
      <c r="G111" s="24" t="s">
        <v>14</v>
      </c>
      <c r="H111" s="24" t="s">
        <v>15</v>
      </c>
      <c r="I111" s="25">
        <v>1</v>
      </c>
      <c r="J111" s="26" t="s">
        <v>16</v>
      </c>
      <c r="K111" s="10">
        <v>25</v>
      </c>
    </row>
    <row r="112" spans="1:11" ht="36.75" x14ac:dyDescent="0.3">
      <c r="A112" s="22">
        <v>108</v>
      </c>
      <c r="B112" s="23" t="s">
        <v>22</v>
      </c>
      <c r="C112" s="24" t="str">
        <f t="shared" si="6"/>
        <v>140502</v>
      </c>
      <c r="D112" s="24" t="str">
        <f>"14.140502/2024.00853/BNC"</f>
        <v>14.140502/2024.00853/BNC</v>
      </c>
      <c r="E112" s="24" t="str">
        <f>"140502240853"</f>
        <v>140502240853</v>
      </c>
      <c r="F112" s="24" t="str">
        <f t="shared" si="7"/>
        <v>SILLA FIJA APILABLE</v>
      </c>
      <c r="G112" s="24" t="s">
        <v>14</v>
      </c>
      <c r="H112" s="24" t="s">
        <v>15</v>
      </c>
      <c r="I112" s="25">
        <v>1</v>
      </c>
      <c r="J112" s="26" t="s">
        <v>16</v>
      </c>
      <c r="K112" s="10">
        <v>25</v>
      </c>
    </row>
    <row r="113" spans="1:11" ht="36.75" x14ac:dyDescent="0.3">
      <c r="A113" s="22">
        <v>109</v>
      </c>
      <c r="B113" s="23" t="s">
        <v>22</v>
      </c>
      <c r="C113" s="24" t="str">
        <f t="shared" si="6"/>
        <v>140502</v>
      </c>
      <c r="D113" s="24" t="str">
        <f>"14.140502/2024.00854/BNC"</f>
        <v>14.140502/2024.00854/BNC</v>
      </c>
      <c r="E113" s="24" t="str">
        <f>"140502240854"</f>
        <v>140502240854</v>
      </c>
      <c r="F113" s="24" t="str">
        <f>"BOTE DE ACERO IMSS EMPOTRABLE"</f>
        <v>BOTE DE ACERO IMSS EMPOTRABLE</v>
      </c>
      <c r="G113" s="24" t="s">
        <v>14</v>
      </c>
      <c r="H113" s="24" t="s">
        <v>15</v>
      </c>
      <c r="I113" s="25">
        <v>1</v>
      </c>
      <c r="J113" s="26" t="s">
        <v>16</v>
      </c>
      <c r="K113" s="10">
        <v>30</v>
      </c>
    </row>
    <row r="114" spans="1:11" ht="36.75" x14ac:dyDescent="0.3">
      <c r="A114" s="22">
        <v>110</v>
      </c>
      <c r="B114" s="23" t="s">
        <v>22</v>
      </c>
      <c r="C114" s="24" t="str">
        <f t="shared" si="6"/>
        <v>140502</v>
      </c>
      <c r="D114" s="24" t="str">
        <f>"14.140502/2024.00855/BNC"</f>
        <v>14.140502/2024.00855/BNC</v>
      </c>
      <c r="E114" s="24" t="str">
        <f>"140502240855"</f>
        <v>140502240855</v>
      </c>
      <c r="F114" s="24" t="str">
        <f>"BOTE DE ACERO IMSS EMPOTRABLE"</f>
        <v>BOTE DE ACERO IMSS EMPOTRABLE</v>
      </c>
      <c r="G114" s="24" t="s">
        <v>14</v>
      </c>
      <c r="H114" s="24" t="s">
        <v>15</v>
      </c>
      <c r="I114" s="25">
        <v>1</v>
      </c>
      <c r="J114" s="26" t="s">
        <v>16</v>
      </c>
      <c r="K114" s="10">
        <v>30</v>
      </c>
    </row>
    <row r="115" spans="1:11" ht="36.75" x14ac:dyDescent="0.3">
      <c r="A115" s="22">
        <v>111</v>
      </c>
      <c r="B115" s="23" t="s">
        <v>22</v>
      </c>
      <c r="C115" s="24" t="str">
        <f t="shared" si="6"/>
        <v>140502</v>
      </c>
      <c r="D115" s="24" t="str">
        <f>"14.140502/2024.00856/BNC"</f>
        <v>14.140502/2024.00856/BNC</v>
      </c>
      <c r="E115" s="24" t="str">
        <f>"140502240856"</f>
        <v>140502240856</v>
      </c>
      <c r="F115" s="24" t="str">
        <f>"BOTE DE ACERO IMSS EMPOTRABLE"</f>
        <v>BOTE DE ACERO IMSS EMPOTRABLE</v>
      </c>
      <c r="G115" s="24" t="s">
        <v>14</v>
      </c>
      <c r="H115" s="24" t="s">
        <v>15</v>
      </c>
      <c r="I115" s="25">
        <v>1</v>
      </c>
      <c r="J115" s="26" t="s">
        <v>16</v>
      </c>
      <c r="K115" s="10">
        <v>30</v>
      </c>
    </row>
    <row r="116" spans="1:11" ht="36.75" x14ac:dyDescent="0.3">
      <c r="A116" s="22">
        <v>112</v>
      </c>
      <c r="B116" s="23" t="s">
        <v>22</v>
      </c>
      <c r="C116" s="24" t="str">
        <f t="shared" si="6"/>
        <v>140502</v>
      </c>
      <c r="D116" s="24" t="str">
        <f>"14.140502/2024.00857/BNC"</f>
        <v>14.140502/2024.00857/BNC</v>
      </c>
      <c r="E116" s="24" t="str">
        <f>"140502240857"</f>
        <v>140502240857</v>
      </c>
      <c r="F116" s="24" t="str">
        <f>"BOTE DE ACERO IMSS EMPOTRABLE"</f>
        <v>BOTE DE ACERO IMSS EMPOTRABLE</v>
      </c>
      <c r="G116" s="24" t="s">
        <v>14</v>
      </c>
      <c r="H116" s="24" t="s">
        <v>15</v>
      </c>
      <c r="I116" s="25">
        <v>1</v>
      </c>
      <c r="J116" s="26" t="s">
        <v>16</v>
      </c>
      <c r="K116" s="10">
        <v>30</v>
      </c>
    </row>
    <row r="117" spans="1:11" ht="36.75" x14ac:dyDescent="0.3">
      <c r="A117" s="22">
        <v>113</v>
      </c>
      <c r="B117" s="23" t="s">
        <v>22</v>
      </c>
      <c r="C117" s="24" t="str">
        <f t="shared" si="6"/>
        <v>140502</v>
      </c>
      <c r="D117" s="24" t="str">
        <f>"14.140502/2024.00858/BNC"</f>
        <v>14.140502/2024.00858/BNC</v>
      </c>
      <c r="E117" s="24" t="str">
        <f>"140502240858"</f>
        <v>140502240858</v>
      </c>
      <c r="F117" s="24" t="str">
        <f>"REFRIGERADOR PARA LABORATORIO"</f>
        <v>REFRIGERADOR PARA LABORATORIO</v>
      </c>
      <c r="G117" s="24" t="s">
        <v>14</v>
      </c>
      <c r="H117" s="24" t="s">
        <v>15</v>
      </c>
      <c r="I117" s="25">
        <v>1</v>
      </c>
      <c r="J117" s="26" t="s">
        <v>16</v>
      </c>
      <c r="K117" s="10">
        <v>100</v>
      </c>
    </row>
    <row r="118" spans="1:11" ht="36.75" x14ac:dyDescent="0.3">
      <c r="A118" s="22">
        <v>114</v>
      </c>
      <c r="B118" s="23" t="s">
        <v>22</v>
      </c>
      <c r="C118" s="24" t="str">
        <f t="shared" si="6"/>
        <v>140502</v>
      </c>
      <c r="D118" s="24" t="str">
        <f>"14.140502/2024.00859/BNC"</f>
        <v>14.140502/2024.00859/BNC</v>
      </c>
      <c r="E118" s="24" t="str">
        <f>"140502240859"</f>
        <v>140502240859</v>
      </c>
      <c r="F118" s="24" t="str">
        <f>"FOTOTERAPIA"</f>
        <v>FOTOTERAPIA</v>
      </c>
      <c r="G118" s="24" t="s">
        <v>14</v>
      </c>
      <c r="H118" s="24" t="s">
        <v>15</v>
      </c>
      <c r="I118" s="25">
        <v>1</v>
      </c>
      <c r="J118" s="26" t="s">
        <v>16</v>
      </c>
      <c r="K118" s="10">
        <v>100</v>
      </c>
    </row>
    <row r="119" spans="1:11" ht="36.75" x14ac:dyDescent="0.3">
      <c r="A119" s="22">
        <v>115</v>
      </c>
      <c r="B119" s="23" t="s">
        <v>22</v>
      </c>
      <c r="C119" s="24" t="str">
        <f t="shared" si="6"/>
        <v>140502</v>
      </c>
      <c r="D119" s="24" t="str">
        <f>"14.140502/2024.00811/BNC"</f>
        <v>14.140502/2024.00811/BNC</v>
      </c>
      <c r="E119" s="24" t="str">
        <f>"140502240811"</f>
        <v>140502240811</v>
      </c>
      <c r="F119" s="24" t="str">
        <f>"LIBROS DE CONSULTA"</f>
        <v>LIBROS DE CONSULTA</v>
      </c>
      <c r="G119" s="24" t="s">
        <v>14</v>
      </c>
      <c r="H119" s="24" t="s">
        <v>15</v>
      </c>
      <c r="I119" s="25">
        <v>1</v>
      </c>
      <c r="J119" s="26" t="s">
        <v>16</v>
      </c>
      <c r="K119" s="10">
        <v>30</v>
      </c>
    </row>
    <row r="120" spans="1:11" ht="36.75" x14ac:dyDescent="0.3">
      <c r="A120" s="22">
        <v>116</v>
      </c>
      <c r="B120" s="23" t="s">
        <v>22</v>
      </c>
      <c r="C120" s="24" t="str">
        <f t="shared" si="6"/>
        <v>140502</v>
      </c>
      <c r="D120" s="24" t="str">
        <f>"14.140502/2024.00812/BNC"</f>
        <v>14.140502/2024.00812/BNC</v>
      </c>
      <c r="E120" s="24" t="str">
        <f>"140502240812"</f>
        <v>140502240812</v>
      </c>
      <c r="F120" s="24" t="str">
        <f>"LIBROS DE CONSULTA"</f>
        <v>LIBROS DE CONSULTA</v>
      </c>
      <c r="G120" s="24" t="s">
        <v>14</v>
      </c>
      <c r="H120" s="24" t="s">
        <v>15</v>
      </c>
      <c r="I120" s="25">
        <v>1</v>
      </c>
      <c r="J120" s="26" t="s">
        <v>16</v>
      </c>
      <c r="K120" s="10">
        <v>30</v>
      </c>
    </row>
    <row r="121" spans="1:11" ht="36.75" x14ac:dyDescent="0.3">
      <c r="A121" s="22">
        <v>117</v>
      </c>
      <c r="B121" s="23" t="s">
        <v>22</v>
      </c>
      <c r="C121" s="24" t="str">
        <f t="shared" si="6"/>
        <v>140502</v>
      </c>
      <c r="D121" s="24" t="str">
        <f>"14.140502/2024.00813/BNC"</f>
        <v>14.140502/2024.00813/BNC</v>
      </c>
      <c r="E121" s="24" t="str">
        <f>"140502240813"</f>
        <v>140502240813</v>
      </c>
      <c r="F121" s="24" t="str">
        <f>"LIBROS DE CONSULTA"</f>
        <v>LIBROS DE CONSULTA</v>
      </c>
      <c r="G121" s="24" t="s">
        <v>14</v>
      </c>
      <c r="H121" s="24" t="s">
        <v>15</v>
      </c>
      <c r="I121" s="25">
        <v>1</v>
      </c>
      <c r="J121" s="26" t="s">
        <v>16</v>
      </c>
      <c r="K121" s="10">
        <v>30</v>
      </c>
    </row>
    <row r="122" spans="1:11" ht="36.75" x14ac:dyDescent="0.3">
      <c r="A122" s="22">
        <v>118</v>
      </c>
      <c r="B122" s="23" t="s">
        <v>22</v>
      </c>
      <c r="C122" s="24" t="str">
        <f t="shared" si="6"/>
        <v>140502</v>
      </c>
      <c r="D122" s="24" t="str">
        <f>"14.140502/2024.00814/BNC"</f>
        <v>14.140502/2024.00814/BNC</v>
      </c>
      <c r="E122" s="24" t="str">
        <f>"140502240814"</f>
        <v>140502240814</v>
      </c>
      <c r="F122" s="24" t="str">
        <f>"LIBROS DE CONSULTA"</f>
        <v>LIBROS DE CONSULTA</v>
      </c>
      <c r="G122" s="24" t="s">
        <v>14</v>
      </c>
      <c r="H122" s="24" t="s">
        <v>15</v>
      </c>
      <c r="I122" s="25">
        <v>1</v>
      </c>
      <c r="J122" s="26" t="s">
        <v>16</v>
      </c>
      <c r="K122" s="10">
        <v>30</v>
      </c>
    </row>
    <row r="123" spans="1:11" ht="36.75" x14ac:dyDescent="0.3">
      <c r="A123" s="22">
        <v>119</v>
      </c>
      <c r="B123" s="23" t="s">
        <v>22</v>
      </c>
      <c r="C123" s="24" t="str">
        <f t="shared" si="6"/>
        <v>140502</v>
      </c>
      <c r="D123" s="24" t="str">
        <f>"14.140502/2024.00588/BNC"</f>
        <v>14.140502/2024.00588/BNC</v>
      </c>
      <c r="E123" s="24" t="str">
        <f>"140502240588"</f>
        <v>140502240588</v>
      </c>
      <c r="F123" s="24" t="str">
        <f t="shared" ref="F123:F133" si="8">"SILLA FIJA"</f>
        <v>SILLA FIJA</v>
      </c>
      <c r="G123" s="24" t="s">
        <v>14</v>
      </c>
      <c r="H123" s="24" t="s">
        <v>15</v>
      </c>
      <c r="I123" s="25">
        <v>1</v>
      </c>
      <c r="J123" s="26" t="s">
        <v>16</v>
      </c>
      <c r="K123" s="10">
        <v>25</v>
      </c>
    </row>
    <row r="124" spans="1:11" ht="36.75" x14ac:dyDescent="0.3">
      <c r="A124" s="22">
        <v>120</v>
      </c>
      <c r="B124" s="23" t="s">
        <v>22</v>
      </c>
      <c r="C124" s="24" t="str">
        <f t="shared" si="6"/>
        <v>140502</v>
      </c>
      <c r="D124" s="24" t="str">
        <f>"14.140502/2024.00589/BNC"</f>
        <v>14.140502/2024.00589/BNC</v>
      </c>
      <c r="E124" s="24" t="str">
        <f>"140502240589"</f>
        <v>140502240589</v>
      </c>
      <c r="F124" s="24" t="str">
        <f t="shared" si="8"/>
        <v>SILLA FIJA</v>
      </c>
      <c r="G124" s="24" t="s">
        <v>14</v>
      </c>
      <c r="H124" s="24" t="s">
        <v>15</v>
      </c>
      <c r="I124" s="25">
        <v>1</v>
      </c>
      <c r="J124" s="26" t="s">
        <v>16</v>
      </c>
      <c r="K124" s="10">
        <v>25</v>
      </c>
    </row>
    <row r="125" spans="1:11" ht="36.75" x14ac:dyDescent="0.3">
      <c r="A125" s="22">
        <v>121</v>
      </c>
      <c r="B125" s="23" t="s">
        <v>22</v>
      </c>
      <c r="C125" s="24" t="str">
        <f t="shared" si="6"/>
        <v>140502</v>
      </c>
      <c r="D125" s="24" t="str">
        <f>"14.140502/2024.00590/BNC"</f>
        <v>14.140502/2024.00590/BNC</v>
      </c>
      <c r="E125" s="24" t="str">
        <f>"140502240590"</f>
        <v>140502240590</v>
      </c>
      <c r="F125" s="24" t="str">
        <f t="shared" si="8"/>
        <v>SILLA FIJA</v>
      </c>
      <c r="G125" s="24" t="s">
        <v>14</v>
      </c>
      <c r="H125" s="24" t="s">
        <v>15</v>
      </c>
      <c r="I125" s="25">
        <v>1</v>
      </c>
      <c r="J125" s="26" t="s">
        <v>16</v>
      </c>
      <c r="K125" s="10">
        <v>25</v>
      </c>
    </row>
    <row r="126" spans="1:11" ht="36.75" x14ac:dyDescent="0.3">
      <c r="A126" s="22">
        <v>122</v>
      </c>
      <c r="B126" s="23" t="s">
        <v>22</v>
      </c>
      <c r="C126" s="24" t="str">
        <f t="shared" si="6"/>
        <v>140502</v>
      </c>
      <c r="D126" s="24" t="str">
        <f>"14.140502/2024.00591/BNC"</f>
        <v>14.140502/2024.00591/BNC</v>
      </c>
      <c r="E126" s="24" t="str">
        <f>"140502240591"</f>
        <v>140502240591</v>
      </c>
      <c r="F126" s="24" t="str">
        <f t="shared" si="8"/>
        <v>SILLA FIJA</v>
      </c>
      <c r="G126" s="24" t="s">
        <v>14</v>
      </c>
      <c r="H126" s="24" t="s">
        <v>15</v>
      </c>
      <c r="I126" s="25">
        <v>1</v>
      </c>
      <c r="J126" s="26" t="s">
        <v>16</v>
      </c>
      <c r="K126" s="10">
        <v>25</v>
      </c>
    </row>
    <row r="127" spans="1:11" ht="36.75" x14ac:dyDescent="0.3">
      <c r="A127" s="22">
        <v>123</v>
      </c>
      <c r="B127" s="23" t="s">
        <v>22</v>
      </c>
      <c r="C127" s="24" t="str">
        <f t="shared" si="6"/>
        <v>140502</v>
      </c>
      <c r="D127" s="24" t="str">
        <f>"14.140502/2024.00592/BNC"</f>
        <v>14.140502/2024.00592/BNC</v>
      </c>
      <c r="E127" s="24" t="str">
        <f>"140502240592"</f>
        <v>140502240592</v>
      </c>
      <c r="F127" s="24" t="str">
        <f t="shared" si="8"/>
        <v>SILLA FIJA</v>
      </c>
      <c r="G127" s="24" t="s">
        <v>14</v>
      </c>
      <c r="H127" s="24" t="s">
        <v>15</v>
      </c>
      <c r="I127" s="25">
        <v>1</v>
      </c>
      <c r="J127" s="26" t="s">
        <v>16</v>
      </c>
      <c r="K127" s="10">
        <v>25</v>
      </c>
    </row>
    <row r="128" spans="1:11" ht="36.75" x14ac:dyDescent="0.3">
      <c r="A128" s="22">
        <v>124</v>
      </c>
      <c r="B128" s="23" t="s">
        <v>22</v>
      </c>
      <c r="C128" s="24" t="str">
        <f t="shared" si="6"/>
        <v>140502</v>
      </c>
      <c r="D128" s="24" t="str">
        <f>"14.140502/2024.00593/BNC"</f>
        <v>14.140502/2024.00593/BNC</v>
      </c>
      <c r="E128" s="24" t="str">
        <f>"140502240593"</f>
        <v>140502240593</v>
      </c>
      <c r="F128" s="24" t="str">
        <f t="shared" si="8"/>
        <v>SILLA FIJA</v>
      </c>
      <c r="G128" s="24" t="s">
        <v>14</v>
      </c>
      <c r="H128" s="24" t="s">
        <v>15</v>
      </c>
      <c r="I128" s="25">
        <v>1</v>
      </c>
      <c r="J128" s="26" t="s">
        <v>16</v>
      </c>
      <c r="K128" s="10">
        <v>25</v>
      </c>
    </row>
    <row r="129" spans="1:11" ht="36.75" x14ac:dyDescent="0.3">
      <c r="A129" s="22">
        <v>125</v>
      </c>
      <c r="B129" s="23" t="s">
        <v>22</v>
      </c>
      <c r="C129" s="24" t="str">
        <f t="shared" si="6"/>
        <v>140502</v>
      </c>
      <c r="D129" s="24" t="str">
        <f>"14.140502/2024.00594/BNC"</f>
        <v>14.140502/2024.00594/BNC</v>
      </c>
      <c r="E129" s="24" t="str">
        <f>"140502240594"</f>
        <v>140502240594</v>
      </c>
      <c r="F129" s="24" t="str">
        <f t="shared" si="8"/>
        <v>SILLA FIJA</v>
      </c>
      <c r="G129" s="24" t="s">
        <v>14</v>
      </c>
      <c r="H129" s="24" t="s">
        <v>15</v>
      </c>
      <c r="I129" s="25">
        <v>1</v>
      </c>
      <c r="J129" s="26" t="s">
        <v>16</v>
      </c>
      <c r="K129" s="10">
        <v>25</v>
      </c>
    </row>
    <row r="130" spans="1:11" ht="36.75" x14ac:dyDescent="0.3">
      <c r="A130" s="22">
        <v>126</v>
      </c>
      <c r="B130" s="23" t="s">
        <v>22</v>
      </c>
      <c r="C130" s="24" t="str">
        <f t="shared" si="6"/>
        <v>140502</v>
      </c>
      <c r="D130" s="24" t="str">
        <f>"14.140502/2024.00595/BNC"</f>
        <v>14.140502/2024.00595/BNC</v>
      </c>
      <c r="E130" s="24" t="str">
        <f>"140502240595"</f>
        <v>140502240595</v>
      </c>
      <c r="F130" s="24" t="str">
        <f t="shared" si="8"/>
        <v>SILLA FIJA</v>
      </c>
      <c r="G130" s="24" t="s">
        <v>14</v>
      </c>
      <c r="H130" s="24" t="s">
        <v>15</v>
      </c>
      <c r="I130" s="25">
        <v>1</v>
      </c>
      <c r="J130" s="26" t="s">
        <v>16</v>
      </c>
      <c r="K130" s="10">
        <v>25</v>
      </c>
    </row>
    <row r="131" spans="1:11" ht="36.75" x14ac:dyDescent="0.3">
      <c r="A131" s="22">
        <v>127</v>
      </c>
      <c r="B131" s="23" t="s">
        <v>22</v>
      </c>
      <c r="C131" s="24" t="str">
        <f t="shared" si="6"/>
        <v>140502</v>
      </c>
      <c r="D131" s="24" t="str">
        <f>"14.140502/2024.00596/BNC"</f>
        <v>14.140502/2024.00596/BNC</v>
      </c>
      <c r="E131" s="24" t="str">
        <f>"140502240596"</f>
        <v>140502240596</v>
      </c>
      <c r="F131" s="24" t="str">
        <f t="shared" si="8"/>
        <v>SILLA FIJA</v>
      </c>
      <c r="G131" s="24" t="s">
        <v>14</v>
      </c>
      <c r="H131" s="24" t="s">
        <v>15</v>
      </c>
      <c r="I131" s="25">
        <v>1</v>
      </c>
      <c r="J131" s="26" t="s">
        <v>16</v>
      </c>
      <c r="K131" s="10">
        <v>25</v>
      </c>
    </row>
    <row r="132" spans="1:11" ht="36.75" x14ac:dyDescent="0.3">
      <c r="A132" s="22">
        <v>128</v>
      </c>
      <c r="B132" s="23" t="s">
        <v>22</v>
      </c>
      <c r="C132" s="24" t="str">
        <f t="shared" si="6"/>
        <v>140502</v>
      </c>
      <c r="D132" s="24" t="str">
        <f>"14.140502/2024.00597/BNC"</f>
        <v>14.140502/2024.00597/BNC</v>
      </c>
      <c r="E132" s="24" t="str">
        <f>"140502240597"</f>
        <v>140502240597</v>
      </c>
      <c r="F132" s="24" t="str">
        <f t="shared" si="8"/>
        <v>SILLA FIJA</v>
      </c>
      <c r="G132" s="24" t="s">
        <v>14</v>
      </c>
      <c r="H132" s="24" t="s">
        <v>15</v>
      </c>
      <c r="I132" s="25">
        <v>1</v>
      </c>
      <c r="J132" s="26" t="s">
        <v>16</v>
      </c>
      <c r="K132" s="10">
        <v>25</v>
      </c>
    </row>
    <row r="133" spans="1:11" ht="36.75" x14ac:dyDescent="0.3">
      <c r="A133" s="22">
        <v>129</v>
      </c>
      <c r="B133" s="23" t="s">
        <v>22</v>
      </c>
      <c r="C133" s="24" t="str">
        <f t="shared" si="6"/>
        <v>140502</v>
      </c>
      <c r="D133" s="24" t="str">
        <f>"14.140502/2024.00598/BNC"</f>
        <v>14.140502/2024.00598/BNC</v>
      </c>
      <c r="E133" s="24" t="str">
        <f>"140502240598"</f>
        <v>140502240598</v>
      </c>
      <c r="F133" s="24" t="str">
        <f t="shared" si="8"/>
        <v>SILLA FIJA</v>
      </c>
      <c r="G133" s="24" t="s">
        <v>14</v>
      </c>
      <c r="H133" s="24" t="s">
        <v>15</v>
      </c>
      <c r="I133" s="25">
        <v>1</v>
      </c>
      <c r="J133" s="26" t="s">
        <v>16</v>
      </c>
      <c r="K133" s="10">
        <v>25</v>
      </c>
    </row>
    <row r="134" spans="1:11" ht="36.75" x14ac:dyDescent="0.3">
      <c r="A134" s="22">
        <v>130</v>
      </c>
      <c r="B134" s="23" t="s">
        <v>22</v>
      </c>
      <c r="C134" s="24" t="str">
        <f t="shared" si="6"/>
        <v>140502</v>
      </c>
      <c r="D134" s="24" t="str">
        <f>"14.140502/2024.00599/BNC"</f>
        <v>14.140502/2024.00599/BNC</v>
      </c>
      <c r="E134" s="24" t="str">
        <f>"140502240599"</f>
        <v>140502240599</v>
      </c>
      <c r="F134" s="24" t="str">
        <f t="shared" ref="F134:F140" si="9">"SILLA SECRETARIAL"</f>
        <v>SILLA SECRETARIAL</v>
      </c>
      <c r="G134" s="24" t="s">
        <v>14</v>
      </c>
      <c r="H134" s="24" t="s">
        <v>15</v>
      </c>
      <c r="I134" s="25">
        <v>1</v>
      </c>
      <c r="J134" s="26" t="s">
        <v>16</v>
      </c>
      <c r="K134" s="10">
        <v>25</v>
      </c>
    </row>
    <row r="135" spans="1:11" ht="36.75" x14ac:dyDescent="0.3">
      <c r="A135" s="22">
        <v>131</v>
      </c>
      <c r="B135" s="23" t="s">
        <v>22</v>
      </c>
      <c r="C135" s="24" t="str">
        <f t="shared" si="6"/>
        <v>140502</v>
      </c>
      <c r="D135" s="24" t="str">
        <f>"14.140502/2024.00600/BNC"</f>
        <v>14.140502/2024.00600/BNC</v>
      </c>
      <c r="E135" s="24" t="str">
        <f>"140502240600"</f>
        <v>140502240600</v>
      </c>
      <c r="F135" s="24" t="str">
        <f t="shared" si="9"/>
        <v>SILLA SECRETARIAL</v>
      </c>
      <c r="G135" s="24" t="s">
        <v>14</v>
      </c>
      <c r="H135" s="24" t="s">
        <v>15</v>
      </c>
      <c r="I135" s="25">
        <v>1</v>
      </c>
      <c r="J135" s="26" t="s">
        <v>16</v>
      </c>
      <c r="K135" s="10">
        <v>25</v>
      </c>
    </row>
    <row r="136" spans="1:11" ht="36.75" x14ac:dyDescent="0.3">
      <c r="A136" s="22">
        <v>132</v>
      </c>
      <c r="B136" s="23" t="s">
        <v>22</v>
      </c>
      <c r="C136" s="24" t="str">
        <f t="shared" si="6"/>
        <v>140502</v>
      </c>
      <c r="D136" s="24" t="str">
        <f>"14.140502/2024.00601/BNC"</f>
        <v>14.140502/2024.00601/BNC</v>
      </c>
      <c r="E136" s="24" t="str">
        <f>"140502240601"</f>
        <v>140502240601</v>
      </c>
      <c r="F136" s="24" t="str">
        <f t="shared" si="9"/>
        <v>SILLA SECRETARIAL</v>
      </c>
      <c r="G136" s="24" t="s">
        <v>14</v>
      </c>
      <c r="H136" s="24" t="s">
        <v>15</v>
      </c>
      <c r="I136" s="25">
        <v>1</v>
      </c>
      <c r="J136" s="26" t="s">
        <v>16</v>
      </c>
      <c r="K136" s="10">
        <v>25</v>
      </c>
    </row>
    <row r="137" spans="1:11" ht="36.75" x14ac:dyDescent="0.3">
      <c r="A137" s="22">
        <v>133</v>
      </c>
      <c r="B137" s="23" t="s">
        <v>22</v>
      </c>
      <c r="C137" s="24" t="str">
        <f t="shared" si="6"/>
        <v>140502</v>
      </c>
      <c r="D137" s="24" t="str">
        <f>"14.140502/2024.00602/BNC"</f>
        <v>14.140502/2024.00602/BNC</v>
      </c>
      <c r="E137" s="24" t="str">
        <f>"140502240602"</f>
        <v>140502240602</v>
      </c>
      <c r="F137" s="24" t="str">
        <f t="shared" si="9"/>
        <v>SILLA SECRETARIAL</v>
      </c>
      <c r="G137" s="24" t="s">
        <v>14</v>
      </c>
      <c r="H137" s="24" t="s">
        <v>15</v>
      </c>
      <c r="I137" s="25">
        <v>1</v>
      </c>
      <c r="J137" s="26" t="s">
        <v>16</v>
      </c>
      <c r="K137" s="10">
        <v>25</v>
      </c>
    </row>
    <row r="138" spans="1:11" ht="36.75" x14ac:dyDescent="0.3">
      <c r="A138" s="22">
        <v>134</v>
      </c>
      <c r="B138" s="23" t="s">
        <v>22</v>
      </c>
      <c r="C138" s="24" t="str">
        <f t="shared" ref="C138:C201" si="10">"140502"</f>
        <v>140502</v>
      </c>
      <c r="D138" s="24" t="str">
        <f>"14.140502/2024.00603/BNC"</f>
        <v>14.140502/2024.00603/BNC</v>
      </c>
      <c r="E138" s="24" t="str">
        <f>"140502240603"</f>
        <v>140502240603</v>
      </c>
      <c r="F138" s="24" t="str">
        <f t="shared" si="9"/>
        <v>SILLA SECRETARIAL</v>
      </c>
      <c r="G138" s="24" t="s">
        <v>14</v>
      </c>
      <c r="H138" s="24" t="s">
        <v>15</v>
      </c>
      <c r="I138" s="25">
        <v>1</v>
      </c>
      <c r="J138" s="26" t="s">
        <v>16</v>
      </c>
      <c r="K138" s="10">
        <v>25</v>
      </c>
    </row>
    <row r="139" spans="1:11" ht="36.75" x14ac:dyDescent="0.3">
      <c r="A139" s="22">
        <v>135</v>
      </c>
      <c r="B139" s="23" t="s">
        <v>22</v>
      </c>
      <c r="C139" s="24" t="str">
        <f t="shared" si="10"/>
        <v>140502</v>
      </c>
      <c r="D139" s="24" t="str">
        <f>"14.140502/2024.00604/BNC"</f>
        <v>14.140502/2024.00604/BNC</v>
      </c>
      <c r="E139" s="24" t="str">
        <f>"140502240604"</f>
        <v>140502240604</v>
      </c>
      <c r="F139" s="24" t="str">
        <f t="shared" si="9"/>
        <v>SILLA SECRETARIAL</v>
      </c>
      <c r="G139" s="24" t="s">
        <v>14</v>
      </c>
      <c r="H139" s="24" t="s">
        <v>15</v>
      </c>
      <c r="I139" s="25">
        <v>1</v>
      </c>
      <c r="J139" s="26" t="s">
        <v>16</v>
      </c>
      <c r="K139" s="10">
        <v>25</v>
      </c>
    </row>
    <row r="140" spans="1:11" ht="36.75" x14ac:dyDescent="0.3">
      <c r="A140" s="22">
        <v>136</v>
      </c>
      <c r="B140" s="23" t="s">
        <v>22</v>
      </c>
      <c r="C140" s="24" t="str">
        <f t="shared" si="10"/>
        <v>140502</v>
      </c>
      <c r="D140" s="24" t="str">
        <f>"14.140502/2024.00605/BNC"</f>
        <v>14.140502/2024.00605/BNC</v>
      </c>
      <c r="E140" s="24" t="str">
        <f>"140502240605"</f>
        <v>140502240605</v>
      </c>
      <c r="F140" s="24" t="str">
        <f t="shared" si="9"/>
        <v>SILLA SECRETARIAL</v>
      </c>
      <c r="G140" s="24" t="s">
        <v>14</v>
      </c>
      <c r="H140" s="24" t="s">
        <v>15</v>
      </c>
      <c r="I140" s="25">
        <v>1</v>
      </c>
      <c r="J140" s="26" t="s">
        <v>16</v>
      </c>
      <c r="K140" s="10">
        <v>25</v>
      </c>
    </row>
    <row r="141" spans="1:11" ht="36.75" x14ac:dyDescent="0.3">
      <c r="A141" s="22">
        <v>137</v>
      </c>
      <c r="B141" s="23" t="s">
        <v>22</v>
      </c>
      <c r="C141" s="24" t="str">
        <f t="shared" si="10"/>
        <v>140502</v>
      </c>
      <c r="D141" s="24" t="str">
        <f>"14.140502/2024.00606/BNC"</f>
        <v>14.140502/2024.00606/BNC</v>
      </c>
      <c r="E141" s="24" t="str">
        <f>"140502240606"</f>
        <v>140502240606</v>
      </c>
      <c r="F141" s="24" t="str">
        <f>"SILLA SEMI-EJECUTIVA"</f>
        <v>SILLA SEMI-EJECUTIVA</v>
      </c>
      <c r="G141" s="24" t="s">
        <v>14</v>
      </c>
      <c r="H141" s="24" t="s">
        <v>15</v>
      </c>
      <c r="I141" s="25">
        <v>1</v>
      </c>
      <c r="J141" s="26" t="s">
        <v>16</v>
      </c>
      <c r="K141" s="10">
        <v>25</v>
      </c>
    </row>
    <row r="142" spans="1:11" ht="36.75" x14ac:dyDescent="0.3">
      <c r="A142" s="22">
        <v>138</v>
      </c>
      <c r="B142" s="23" t="s">
        <v>22</v>
      </c>
      <c r="C142" s="24" t="str">
        <f t="shared" si="10"/>
        <v>140502</v>
      </c>
      <c r="D142" s="24" t="str">
        <f>"14.140502/2024.00607/BNC"</f>
        <v>14.140502/2024.00607/BNC</v>
      </c>
      <c r="E142" s="24" t="str">
        <f>"140502240607"</f>
        <v>140502240607</v>
      </c>
      <c r="F142" s="24" t="str">
        <f>"SILLA SEMI-EJECUTIVA"</f>
        <v>SILLA SEMI-EJECUTIVA</v>
      </c>
      <c r="G142" s="24" t="s">
        <v>14</v>
      </c>
      <c r="H142" s="24" t="s">
        <v>15</v>
      </c>
      <c r="I142" s="25">
        <v>1</v>
      </c>
      <c r="J142" s="26" t="s">
        <v>16</v>
      </c>
      <c r="K142" s="10">
        <v>25</v>
      </c>
    </row>
    <row r="143" spans="1:11" ht="36.75" x14ac:dyDescent="0.3">
      <c r="A143" s="22">
        <v>139</v>
      </c>
      <c r="B143" s="23" t="s">
        <v>22</v>
      </c>
      <c r="C143" s="24" t="str">
        <f t="shared" si="10"/>
        <v>140502</v>
      </c>
      <c r="D143" s="24" t="str">
        <f>"14.140502/2024.00608/BNC"</f>
        <v>14.140502/2024.00608/BNC</v>
      </c>
      <c r="E143" s="24" t="str">
        <f>"140502240608"</f>
        <v>140502240608</v>
      </c>
      <c r="F143" s="24" t="str">
        <f>"SILLA PUPITRE"</f>
        <v>SILLA PUPITRE</v>
      </c>
      <c r="G143" s="24" t="s">
        <v>14</v>
      </c>
      <c r="H143" s="24" t="s">
        <v>15</v>
      </c>
      <c r="I143" s="25">
        <v>1</v>
      </c>
      <c r="J143" s="26" t="s">
        <v>16</v>
      </c>
      <c r="K143" s="10">
        <v>25</v>
      </c>
    </row>
    <row r="144" spans="1:11" ht="36.75" x14ac:dyDescent="0.3">
      <c r="A144" s="22">
        <v>140</v>
      </c>
      <c r="B144" s="23" t="s">
        <v>22</v>
      </c>
      <c r="C144" s="24" t="str">
        <f t="shared" si="10"/>
        <v>140502</v>
      </c>
      <c r="D144" s="24" t="str">
        <f>"14.140502/2024.00609/BNC"</f>
        <v>14.140502/2024.00609/BNC</v>
      </c>
      <c r="E144" s="24" t="str">
        <f>"140502240609"</f>
        <v>140502240609</v>
      </c>
      <c r="F144" s="24" t="str">
        <f>"SILLA PUPITRE"</f>
        <v>SILLA PUPITRE</v>
      </c>
      <c r="G144" s="24" t="s">
        <v>14</v>
      </c>
      <c r="H144" s="24" t="s">
        <v>15</v>
      </c>
      <c r="I144" s="25">
        <v>1</v>
      </c>
      <c r="J144" s="26" t="s">
        <v>16</v>
      </c>
      <c r="K144" s="10">
        <v>25</v>
      </c>
    </row>
    <row r="145" spans="1:11" ht="36.75" x14ac:dyDescent="0.3">
      <c r="A145" s="22">
        <v>141</v>
      </c>
      <c r="B145" s="23" t="s">
        <v>22</v>
      </c>
      <c r="C145" s="24" t="str">
        <f t="shared" si="10"/>
        <v>140502</v>
      </c>
      <c r="D145" s="24" t="str">
        <f>"14.140502/2024.00610/BNC"</f>
        <v>14.140502/2024.00610/BNC</v>
      </c>
      <c r="E145" s="24" t="str">
        <f>"140502240610"</f>
        <v>140502240610</v>
      </c>
      <c r="F145" s="24" t="str">
        <f>"SILLA PUPITRE"</f>
        <v>SILLA PUPITRE</v>
      </c>
      <c r="G145" s="24" t="s">
        <v>14</v>
      </c>
      <c r="H145" s="24" t="s">
        <v>15</v>
      </c>
      <c r="I145" s="25">
        <v>1</v>
      </c>
      <c r="J145" s="26" t="s">
        <v>16</v>
      </c>
      <c r="K145" s="10">
        <v>25</v>
      </c>
    </row>
    <row r="146" spans="1:11" ht="36.75" x14ac:dyDescent="0.3">
      <c r="A146" s="22">
        <v>142</v>
      </c>
      <c r="B146" s="23" t="s">
        <v>22</v>
      </c>
      <c r="C146" s="24" t="str">
        <f t="shared" si="10"/>
        <v>140502</v>
      </c>
      <c r="D146" s="24" t="str">
        <f>"14.140502/2024.00611/BNC"</f>
        <v>14.140502/2024.00611/BNC</v>
      </c>
      <c r="E146" s="24" t="str">
        <f>"140502240611"</f>
        <v>140502240611</v>
      </c>
      <c r="F146" s="24" t="str">
        <f>"CENTRIFUGA"</f>
        <v>CENTRIFUGA</v>
      </c>
      <c r="G146" s="24" t="s">
        <v>14</v>
      </c>
      <c r="H146" s="24" t="s">
        <v>15</v>
      </c>
      <c r="I146" s="25">
        <v>1</v>
      </c>
      <c r="J146" s="26" t="s">
        <v>16</v>
      </c>
      <c r="K146" s="10">
        <v>50</v>
      </c>
    </row>
    <row r="147" spans="1:11" ht="36.75" x14ac:dyDescent="0.3">
      <c r="A147" s="22">
        <v>143</v>
      </c>
      <c r="B147" s="23" t="s">
        <v>22</v>
      </c>
      <c r="C147" s="24" t="str">
        <f t="shared" si="10"/>
        <v>140502</v>
      </c>
      <c r="D147" s="24" t="str">
        <f>"14.140502/2024.00612/BNC"</f>
        <v>14.140502/2024.00612/BNC</v>
      </c>
      <c r="E147" s="24" t="str">
        <f>"140502240612"</f>
        <v>140502240612</v>
      </c>
      <c r="F147" s="24" t="str">
        <f>"AGITADOR"</f>
        <v>AGITADOR</v>
      </c>
      <c r="G147" s="24" t="s">
        <v>14</v>
      </c>
      <c r="H147" s="24" t="s">
        <v>15</v>
      </c>
      <c r="I147" s="25">
        <v>1</v>
      </c>
      <c r="J147" s="26" t="s">
        <v>16</v>
      </c>
      <c r="K147" s="10">
        <v>15</v>
      </c>
    </row>
    <row r="148" spans="1:11" ht="36.75" x14ac:dyDescent="0.3">
      <c r="A148" s="22">
        <v>144</v>
      </c>
      <c r="B148" s="23" t="s">
        <v>22</v>
      </c>
      <c r="C148" s="24" t="str">
        <f t="shared" si="10"/>
        <v>140502</v>
      </c>
      <c r="D148" s="24" t="str">
        <f>"14.140502/2024.00613/BNC"</f>
        <v>14.140502/2024.00613/BNC</v>
      </c>
      <c r="E148" s="24" t="str">
        <f>"140502240613"</f>
        <v>140502240613</v>
      </c>
      <c r="F148" s="24" t="str">
        <f>"INCUBADORA"</f>
        <v>INCUBADORA</v>
      </c>
      <c r="G148" s="24" t="s">
        <v>14</v>
      </c>
      <c r="H148" s="24" t="s">
        <v>15</v>
      </c>
      <c r="I148" s="25">
        <v>1</v>
      </c>
      <c r="J148" s="26" t="s">
        <v>16</v>
      </c>
      <c r="K148" s="10">
        <v>100</v>
      </c>
    </row>
    <row r="149" spans="1:11" ht="36.75" x14ac:dyDescent="0.3">
      <c r="A149" s="22">
        <v>145</v>
      </c>
      <c r="B149" s="23" t="s">
        <v>22</v>
      </c>
      <c r="C149" s="24" t="str">
        <f t="shared" si="10"/>
        <v>140502</v>
      </c>
      <c r="D149" s="24" t="str">
        <f>"14.140502/2024.00614/BNC"</f>
        <v>14.140502/2024.00614/BNC</v>
      </c>
      <c r="E149" s="24" t="str">
        <f>"140502240614"</f>
        <v>140502240614</v>
      </c>
      <c r="F149" s="24" t="str">
        <f>"MICROSCOPIO"</f>
        <v>MICROSCOPIO</v>
      </c>
      <c r="G149" s="24" t="s">
        <v>14</v>
      </c>
      <c r="H149" s="24" t="s">
        <v>15</v>
      </c>
      <c r="I149" s="25">
        <v>1</v>
      </c>
      <c r="J149" s="26" t="s">
        <v>16</v>
      </c>
      <c r="K149" s="10">
        <v>25</v>
      </c>
    </row>
    <row r="150" spans="1:11" ht="36.75" x14ac:dyDescent="0.3">
      <c r="A150" s="22">
        <v>146</v>
      </c>
      <c r="B150" s="23" t="s">
        <v>22</v>
      </c>
      <c r="C150" s="24" t="str">
        <f t="shared" si="10"/>
        <v>140502</v>
      </c>
      <c r="D150" s="24" t="str">
        <f>"14.140502/2024.00615/BNC"</f>
        <v>14.140502/2024.00615/BNC</v>
      </c>
      <c r="E150" s="24" t="str">
        <f>"140502240615"</f>
        <v>140502240615</v>
      </c>
      <c r="F150" s="24" t="str">
        <f>"AGITADOR"</f>
        <v>AGITADOR</v>
      </c>
      <c r="G150" s="24" t="s">
        <v>14</v>
      </c>
      <c r="H150" s="24" t="s">
        <v>15</v>
      </c>
      <c r="I150" s="25">
        <v>1</v>
      </c>
      <c r="J150" s="26" t="s">
        <v>16</v>
      </c>
      <c r="K150" s="10">
        <v>15</v>
      </c>
    </row>
    <row r="151" spans="1:11" ht="36.75" x14ac:dyDescent="0.3">
      <c r="A151" s="22">
        <v>147</v>
      </c>
      <c r="B151" s="23" t="s">
        <v>22</v>
      </c>
      <c r="C151" s="24" t="str">
        <f t="shared" si="10"/>
        <v>140502</v>
      </c>
      <c r="D151" s="24" t="str">
        <f>"14.140502/2024.00616/BNC"</f>
        <v>14.140502/2024.00616/BNC</v>
      </c>
      <c r="E151" s="24" t="str">
        <f>"140502240616"</f>
        <v>140502240616</v>
      </c>
      <c r="F151" s="24" t="str">
        <f>"MESA PARA AUTOPSIA"</f>
        <v>MESA PARA AUTOPSIA</v>
      </c>
      <c r="G151" s="24" t="s">
        <v>14</v>
      </c>
      <c r="H151" s="24" t="s">
        <v>15</v>
      </c>
      <c r="I151" s="25">
        <v>1</v>
      </c>
      <c r="J151" s="26" t="s">
        <v>16</v>
      </c>
      <c r="K151" s="10">
        <v>200</v>
      </c>
    </row>
    <row r="152" spans="1:11" ht="36.75" x14ac:dyDescent="0.3">
      <c r="A152" s="22">
        <v>148</v>
      </c>
      <c r="B152" s="23" t="s">
        <v>22</v>
      </c>
      <c r="C152" s="24" t="str">
        <f t="shared" si="10"/>
        <v>140502</v>
      </c>
      <c r="D152" s="24" t="str">
        <f>"14.140502/2024.00617/BNC"</f>
        <v>14.140502/2024.00617/BNC</v>
      </c>
      <c r="E152" s="24" t="str">
        <f>"140502240617"</f>
        <v>140502240617</v>
      </c>
      <c r="F152" s="24" t="str">
        <f>"AGITADOR"</f>
        <v>AGITADOR</v>
      </c>
      <c r="G152" s="24" t="s">
        <v>14</v>
      </c>
      <c r="H152" s="24" t="s">
        <v>15</v>
      </c>
      <c r="I152" s="25">
        <v>1</v>
      </c>
      <c r="J152" s="26" t="s">
        <v>16</v>
      </c>
      <c r="K152" s="10">
        <v>15</v>
      </c>
    </row>
    <row r="153" spans="1:11" ht="36.75" x14ac:dyDescent="0.3">
      <c r="A153" s="22">
        <v>149</v>
      </c>
      <c r="B153" s="23" t="s">
        <v>22</v>
      </c>
      <c r="C153" s="24" t="str">
        <f t="shared" si="10"/>
        <v>140502</v>
      </c>
      <c r="D153" s="24" t="str">
        <f>"14.140502/2024.00618/BNC"</f>
        <v>14.140502/2024.00618/BNC</v>
      </c>
      <c r="E153" s="24" t="str">
        <f>"140502240618"</f>
        <v>140502240618</v>
      </c>
      <c r="F153" s="24" t="str">
        <f>"BASCULA PARA PESAR BEBES"</f>
        <v>BASCULA PARA PESAR BEBES</v>
      </c>
      <c r="G153" s="24" t="s">
        <v>14</v>
      </c>
      <c r="H153" s="24" t="s">
        <v>15</v>
      </c>
      <c r="I153" s="25">
        <v>1</v>
      </c>
      <c r="J153" s="26" t="s">
        <v>16</v>
      </c>
      <c r="K153" s="10">
        <v>25</v>
      </c>
    </row>
    <row r="154" spans="1:11" ht="36.75" x14ac:dyDescent="0.3">
      <c r="A154" s="22">
        <v>150</v>
      </c>
      <c r="B154" s="23" t="s">
        <v>22</v>
      </c>
      <c r="C154" s="24" t="str">
        <f t="shared" si="10"/>
        <v>140502</v>
      </c>
      <c r="D154" s="24" t="str">
        <f>"14.140502/2024.00619/BNC"</f>
        <v>14.140502/2024.00619/BNC</v>
      </c>
      <c r="E154" s="24" t="str">
        <f>"140502240619"</f>
        <v>140502240619</v>
      </c>
      <c r="F154" s="24" t="str">
        <f>"CUNA CALIENTE BABYTHERM"</f>
        <v>CUNA CALIENTE BABYTHERM</v>
      </c>
      <c r="G154" s="24" t="s">
        <v>14</v>
      </c>
      <c r="H154" s="24" t="s">
        <v>15</v>
      </c>
      <c r="I154" s="25">
        <v>1</v>
      </c>
      <c r="J154" s="26" t="s">
        <v>16</v>
      </c>
      <c r="K154" s="10">
        <v>450</v>
      </c>
    </row>
    <row r="155" spans="1:11" ht="36.75" x14ac:dyDescent="0.3">
      <c r="A155" s="22">
        <v>151</v>
      </c>
      <c r="B155" s="23" t="s">
        <v>22</v>
      </c>
      <c r="C155" s="24" t="str">
        <f t="shared" si="10"/>
        <v>140502</v>
      </c>
      <c r="D155" s="24" t="str">
        <f>"14.140502/2024.00620/BNC"</f>
        <v>14.140502/2024.00620/BNC</v>
      </c>
      <c r="E155" s="24" t="str">
        <f>"140502240620"</f>
        <v>140502240620</v>
      </c>
      <c r="F155" s="24" t="str">
        <f>"CUNA CALIENTE BABYTHERM"</f>
        <v>CUNA CALIENTE BABYTHERM</v>
      </c>
      <c r="G155" s="24" t="s">
        <v>14</v>
      </c>
      <c r="H155" s="24" t="s">
        <v>15</v>
      </c>
      <c r="I155" s="25">
        <v>1</v>
      </c>
      <c r="J155" s="26" t="s">
        <v>16</v>
      </c>
      <c r="K155" s="10">
        <v>450</v>
      </c>
    </row>
    <row r="156" spans="1:11" ht="36.75" x14ac:dyDescent="0.3">
      <c r="A156" s="22">
        <v>152</v>
      </c>
      <c r="B156" s="23" t="s">
        <v>22</v>
      </c>
      <c r="C156" s="24" t="str">
        <f t="shared" si="10"/>
        <v>140502</v>
      </c>
      <c r="D156" s="24" t="str">
        <f>"14.140502/2024.00621/BNC"</f>
        <v>14.140502/2024.00621/BNC</v>
      </c>
      <c r="E156" s="24" t="str">
        <f>"140502240621"</f>
        <v>140502240621</v>
      </c>
      <c r="F156" s="24" t="str">
        <f>"LAMPARA CHICOTE"</f>
        <v>LAMPARA CHICOTE</v>
      </c>
      <c r="G156" s="24" t="s">
        <v>14</v>
      </c>
      <c r="H156" s="24" t="s">
        <v>15</v>
      </c>
      <c r="I156" s="25">
        <v>1</v>
      </c>
      <c r="J156" s="26" t="s">
        <v>16</v>
      </c>
      <c r="K156" s="10">
        <v>25</v>
      </c>
    </row>
    <row r="157" spans="1:11" ht="36.75" x14ac:dyDescent="0.3">
      <c r="A157" s="22">
        <v>153</v>
      </c>
      <c r="B157" s="23" t="s">
        <v>22</v>
      </c>
      <c r="C157" s="24" t="str">
        <f t="shared" si="10"/>
        <v>140502</v>
      </c>
      <c r="D157" s="24" t="str">
        <f>"14.140502/2024.00622/BNC"</f>
        <v>14.140502/2024.00622/BNC</v>
      </c>
      <c r="E157" s="24" t="str">
        <f>"140502240622"</f>
        <v>140502240622</v>
      </c>
      <c r="F157" s="24" t="str">
        <f>"LAMPARA CHICOTE"</f>
        <v>LAMPARA CHICOTE</v>
      </c>
      <c r="G157" s="24" t="s">
        <v>14</v>
      </c>
      <c r="H157" s="24" t="s">
        <v>15</v>
      </c>
      <c r="I157" s="25">
        <v>1</v>
      </c>
      <c r="J157" s="26" t="s">
        <v>16</v>
      </c>
      <c r="K157" s="10">
        <v>25</v>
      </c>
    </row>
    <row r="158" spans="1:11" ht="36.75" x14ac:dyDescent="0.3">
      <c r="A158" s="22">
        <v>154</v>
      </c>
      <c r="B158" s="23" t="s">
        <v>22</v>
      </c>
      <c r="C158" s="24" t="str">
        <f t="shared" si="10"/>
        <v>140502</v>
      </c>
      <c r="D158" s="24" t="str">
        <f>"14.140502/2024.00623/BNC"</f>
        <v>14.140502/2024.00623/BNC</v>
      </c>
      <c r="E158" s="24" t="str">
        <f>"140502240623"</f>
        <v>140502240623</v>
      </c>
      <c r="F158" s="24" t="str">
        <f>"LAMPARA CHICOTE"</f>
        <v>LAMPARA CHICOTE</v>
      </c>
      <c r="G158" s="24" t="s">
        <v>14</v>
      </c>
      <c r="H158" s="24" t="s">
        <v>15</v>
      </c>
      <c r="I158" s="25">
        <v>1</v>
      </c>
      <c r="J158" s="26" t="s">
        <v>16</v>
      </c>
      <c r="K158" s="10">
        <v>25</v>
      </c>
    </row>
    <row r="159" spans="1:11" ht="36.75" x14ac:dyDescent="0.3">
      <c r="A159" s="22">
        <v>155</v>
      </c>
      <c r="B159" s="23" t="s">
        <v>22</v>
      </c>
      <c r="C159" s="24" t="str">
        <f t="shared" si="10"/>
        <v>140502</v>
      </c>
      <c r="D159" s="24" t="str">
        <f>"14.140502/2024.00624/BNC"</f>
        <v>14.140502/2024.00624/BNC</v>
      </c>
      <c r="E159" s="24" t="str">
        <f>"140502240624"</f>
        <v>140502240624</v>
      </c>
      <c r="F159" s="24" t="str">
        <f>"LAMPARA CHICOTE"</f>
        <v>LAMPARA CHICOTE</v>
      </c>
      <c r="G159" s="24" t="s">
        <v>14</v>
      </c>
      <c r="H159" s="24" t="s">
        <v>15</v>
      </c>
      <c r="I159" s="25">
        <v>1</v>
      </c>
      <c r="J159" s="26" t="s">
        <v>16</v>
      </c>
      <c r="K159" s="10">
        <v>25</v>
      </c>
    </row>
    <row r="160" spans="1:11" ht="36.75" x14ac:dyDescent="0.3">
      <c r="A160" s="22">
        <v>156</v>
      </c>
      <c r="B160" s="23" t="s">
        <v>22</v>
      </c>
      <c r="C160" s="24" t="str">
        <f t="shared" si="10"/>
        <v>140502</v>
      </c>
      <c r="D160" s="24" t="str">
        <f>"14.140502/2024.00625/BNC"</f>
        <v>14.140502/2024.00625/BNC</v>
      </c>
      <c r="E160" s="24" t="str">
        <f>"140502240625"</f>
        <v>140502240625</v>
      </c>
      <c r="F160" s="24" t="str">
        <f>"BOTE DE BASURA METALICO"</f>
        <v>BOTE DE BASURA METALICO</v>
      </c>
      <c r="G160" s="24" t="s">
        <v>14</v>
      </c>
      <c r="H160" s="24" t="s">
        <v>15</v>
      </c>
      <c r="I160" s="25">
        <v>1</v>
      </c>
      <c r="J160" s="26" t="s">
        <v>16</v>
      </c>
      <c r="K160" s="10">
        <v>20</v>
      </c>
    </row>
    <row r="161" spans="1:11" ht="36.75" x14ac:dyDescent="0.3">
      <c r="A161" s="22">
        <v>157</v>
      </c>
      <c r="B161" s="23" t="s">
        <v>22</v>
      </c>
      <c r="C161" s="24" t="str">
        <f t="shared" si="10"/>
        <v>140502</v>
      </c>
      <c r="D161" s="24" t="str">
        <f>"14.140502/2024.00626/BNC"</f>
        <v>14.140502/2024.00626/BNC</v>
      </c>
      <c r="E161" s="24" t="str">
        <f>"140502240626"</f>
        <v>140502240626</v>
      </c>
      <c r="F161" s="24" t="str">
        <f>"BOTE DE BASURA METALICO"</f>
        <v>BOTE DE BASURA METALICO</v>
      </c>
      <c r="G161" s="24" t="s">
        <v>14</v>
      </c>
      <c r="H161" s="24" t="s">
        <v>15</v>
      </c>
      <c r="I161" s="25">
        <v>1</v>
      </c>
      <c r="J161" s="26" t="s">
        <v>16</v>
      </c>
      <c r="K161" s="10">
        <v>20</v>
      </c>
    </row>
    <row r="162" spans="1:11" ht="36.75" x14ac:dyDescent="0.3">
      <c r="A162" s="22">
        <v>158</v>
      </c>
      <c r="B162" s="23" t="s">
        <v>22</v>
      </c>
      <c r="C162" s="24" t="str">
        <f t="shared" si="10"/>
        <v>140502</v>
      </c>
      <c r="D162" s="24" t="str">
        <f>"14.140502/2024.00627/BNC"</f>
        <v>14.140502/2024.00627/BNC</v>
      </c>
      <c r="E162" s="24" t="str">
        <f>"140502240627"</f>
        <v>140502240627</v>
      </c>
      <c r="F162" s="24" t="str">
        <f>"UNIDAD ELECTROQUIRURGICA"</f>
        <v>UNIDAD ELECTROQUIRURGICA</v>
      </c>
      <c r="G162" s="24" t="s">
        <v>14</v>
      </c>
      <c r="H162" s="24" t="s">
        <v>15</v>
      </c>
      <c r="I162" s="25">
        <v>1</v>
      </c>
      <c r="J162" s="26" t="s">
        <v>16</v>
      </c>
      <c r="K162" s="10">
        <v>150</v>
      </c>
    </row>
    <row r="163" spans="1:11" ht="36.75" x14ac:dyDescent="0.3">
      <c r="A163" s="22">
        <v>159</v>
      </c>
      <c r="B163" s="23" t="s">
        <v>22</v>
      </c>
      <c r="C163" s="24" t="str">
        <f t="shared" si="10"/>
        <v>140502</v>
      </c>
      <c r="D163" s="24" t="str">
        <f>"14.140502/2024.00628/BNC"</f>
        <v>14.140502/2024.00628/BNC</v>
      </c>
      <c r="E163" s="24" t="str">
        <f>"140502240628"</f>
        <v>140502240628</v>
      </c>
      <c r="F163" s="24" t="str">
        <f>"MAQUINA DE ANESTESIA"</f>
        <v>MAQUINA DE ANESTESIA</v>
      </c>
      <c r="G163" s="24" t="s">
        <v>14</v>
      </c>
      <c r="H163" s="24" t="s">
        <v>15</v>
      </c>
      <c r="I163" s="25">
        <v>1</v>
      </c>
      <c r="J163" s="26" t="s">
        <v>16</v>
      </c>
      <c r="K163" s="10">
        <v>250</v>
      </c>
    </row>
    <row r="164" spans="1:11" ht="36.75" x14ac:dyDescent="0.3">
      <c r="A164" s="22">
        <v>160</v>
      </c>
      <c r="B164" s="23" t="s">
        <v>22</v>
      </c>
      <c r="C164" s="24" t="str">
        <f t="shared" si="10"/>
        <v>140502</v>
      </c>
      <c r="D164" s="24" t="str">
        <f>"14.140502/2024.00629/BNC"</f>
        <v>14.140502/2024.00629/BNC</v>
      </c>
      <c r="E164" s="24" t="str">
        <f>"140502240629"</f>
        <v>140502240629</v>
      </c>
      <c r="F164" s="24" t="str">
        <f>"VENTILADOR PRESION POSITIVA"</f>
        <v>VENTILADOR PRESION POSITIVA</v>
      </c>
      <c r="G164" s="24" t="s">
        <v>14</v>
      </c>
      <c r="H164" s="24" t="s">
        <v>15</v>
      </c>
      <c r="I164" s="25">
        <v>1</v>
      </c>
      <c r="J164" s="26" t="s">
        <v>16</v>
      </c>
      <c r="K164" s="10">
        <v>35</v>
      </c>
    </row>
    <row r="165" spans="1:11" ht="36.75" x14ac:dyDescent="0.3">
      <c r="A165" s="22">
        <v>161</v>
      </c>
      <c r="B165" s="23" t="s">
        <v>22</v>
      </c>
      <c r="C165" s="24" t="str">
        <f t="shared" si="10"/>
        <v>140502</v>
      </c>
      <c r="D165" s="24" t="str">
        <f>"14.140502/2024.00630/BNC"</f>
        <v>14.140502/2024.00630/BNC</v>
      </c>
      <c r="E165" s="24" t="str">
        <f>"140502240630"</f>
        <v>140502240630</v>
      </c>
      <c r="F165" s="24" t="str">
        <f>"VENTILADOR VOLUMETRICO"</f>
        <v>VENTILADOR VOLUMETRICO</v>
      </c>
      <c r="G165" s="24" t="s">
        <v>14</v>
      </c>
      <c r="H165" s="24" t="s">
        <v>15</v>
      </c>
      <c r="I165" s="25">
        <v>1</v>
      </c>
      <c r="J165" s="26" t="s">
        <v>16</v>
      </c>
      <c r="K165" s="10">
        <v>35</v>
      </c>
    </row>
    <row r="166" spans="1:11" ht="36.75" x14ac:dyDescent="0.3">
      <c r="A166" s="22">
        <v>162</v>
      </c>
      <c r="B166" s="23" t="s">
        <v>22</v>
      </c>
      <c r="C166" s="24" t="str">
        <f t="shared" si="10"/>
        <v>140502</v>
      </c>
      <c r="D166" s="24" t="str">
        <f>"14.140502/2024.00631/BNC"</f>
        <v>14.140502/2024.00631/BNC</v>
      </c>
      <c r="E166" s="24" t="str">
        <f>"140502240631"</f>
        <v>140502240631</v>
      </c>
      <c r="F166" s="24" t="str">
        <f>"UPS"</f>
        <v>UPS</v>
      </c>
      <c r="G166" s="24" t="s">
        <v>14</v>
      </c>
      <c r="H166" s="24" t="s">
        <v>15</v>
      </c>
      <c r="I166" s="25">
        <v>1</v>
      </c>
      <c r="J166" s="26" t="s">
        <v>16</v>
      </c>
      <c r="K166" s="10">
        <v>35</v>
      </c>
    </row>
    <row r="167" spans="1:11" ht="36.75" x14ac:dyDescent="0.3">
      <c r="A167" s="22">
        <v>163</v>
      </c>
      <c r="B167" s="23" t="s">
        <v>22</v>
      </c>
      <c r="C167" s="24" t="str">
        <f t="shared" si="10"/>
        <v>140502</v>
      </c>
      <c r="D167" s="24" t="str">
        <f>"14.140502/2024.00632/BNC"</f>
        <v>14.140502/2024.00632/BNC</v>
      </c>
      <c r="E167" s="24" t="str">
        <f>"140502240632"</f>
        <v>140502240632</v>
      </c>
      <c r="F167" s="24" t="str">
        <f>"IMPRESORA EN SECO"</f>
        <v>IMPRESORA EN SECO</v>
      </c>
      <c r="G167" s="24" t="s">
        <v>14</v>
      </c>
      <c r="H167" s="24" t="s">
        <v>15</v>
      </c>
      <c r="I167" s="25">
        <v>1</v>
      </c>
      <c r="J167" s="26" t="s">
        <v>16</v>
      </c>
      <c r="K167" s="10">
        <v>25</v>
      </c>
    </row>
    <row r="168" spans="1:11" ht="36.75" x14ac:dyDescent="0.3">
      <c r="A168" s="22">
        <v>164</v>
      </c>
      <c r="B168" s="23" t="s">
        <v>22</v>
      </c>
      <c r="C168" s="24" t="str">
        <f t="shared" si="10"/>
        <v>140502</v>
      </c>
      <c r="D168" s="24" t="str">
        <f>"14.140502/2024.00633/BNC"</f>
        <v>14.140502/2024.00633/BNC</v>
      </c>
      <c r="E168" s="24" t="str">
        <f>"140502240633"</f>
        <v>140502240633</v>
      </c>
      <c r="F168" s="24" t="str">
        <f>"IMPRESORA EN SECO"</f>
        <v>IMPRESORA EN SECO</v>
      </c>
      <c r="G168" s="24" t="s">
        <v>14</v>
      </c>
      <c r="H168" s="24" t="s">
        <v>15</v>
      </c>
      <c r="I168" s="25">
        <v>1</v>
      </c>
      <c r="J168" s="26" t="s">
        <v>16</v>
      </c>
      <c r="K168" s="10">
        <v>25</v>
      </c>
    </row>
    <row r="169" spans="1:11" ht="36.75" x14ac:dyDescent="0.3">
      <c r="A169" s="22">
        <v>165</v>
      </c>
      <c r="B169" s="23" t="s">
        <v>22</v>
      </c>
      <c r="C169" s="24" t="str">
        <f t="shared" si="10"/>
        <v>140502</v>
      </c>
      <c r="D169" s="24" t="str">
        <f>"14.140502/2024.00634/BNC"</f>
        <v>14.140502/2024.00634/BNC</v>
      </c>
      <c r="E169" s="24" t="str">
        <f>"140502240634"</f>
        <v>140502240634</v>
      </c>
      <c r="F169" s="24" t="str">
        <f>"MICROSCOPIO DE INVESTIGACION"</f>
        <v>MICROSCOPIO DE INVESTIGACION</v>
      </c>
      <c r="G169" s="24" t="s">
        <v>14</v>
      </c>
      <c r="H169" s="24" t="s">
        <v>15</v>
      </c>
      <c r="I169" s="25">
        <v>1</v>
      </c>
      <c r="J169" s="26" t="s">
        <v>16</v>
      </c>
      <c r="K169" s="10">
        <v>25</v>
      </c>
    </row>
    <row r="170" spans="1:11" ht="36.75" x14ac:dyDescent="0.3">
      <c r="A170" s="22">
        <v>166</v>
      </c>
      <c r="B170" s="23" t="s">
        <v>22</v>
      </c>
      <c r="C170" s="24" t="str">
        <f t="shared" si="10"/>
        <v>140502</v>
      </c>
      <c r="D170" s="24" t="str">
        <f>"14.140502/2024.00635/BNC"</f>
        <v>14.140502/2024.00635/BNC</v>
      </c>
      <c r="E170" s="24" t="str">
        <f>"140502240635"</f>
        <v>140502240635</v>
      </c>
      <c r="F170" s="24" t="str">
        <f>"MICROSCOPIO DE INVESTIGACION"</f>
        <v>MICROSCOPIO DE INVESTIGACION</v>
      </c>
      <c r="G170" s="24" t="s">
        <v>14</v>
      </c>
      <c r="H170" s="24" t="s">
        <v>15</v>
      </c>
      <c r="I170" s="25">
        <v>1</v>
      </c>
      <c r="J170" s="26" t="s">
        <v>16</v>
      </c>
      <c r="K170" s="10">
        <v>25</v>
      </c>
    </row>
    <row r="171" spans="1:11" ht="36.75" x14ac:dyDescent="0.3">
      <c r="A171" s="22">
        <v>167</v>
      </c>
      <c r="B171" s="23" t="s">
        <v>22</v>
      </c>
      <c r="C171" s="24" t="str">
        <f t="shared" si="10"/>
        <v>140502</v>
      </c>
      <c r="D171" s="24" t="str">
        <f>"14.140502/2024.00636/BNC"</f>
        <v>14.140502/2024.00636/BNC</v>
      </c>
      <c r="E171" s="24" t="str">
        <f>"140502240636"</f>
        <v>140502240636</v>
      </c>
      <c r="F171" s="24" t="str">
        <f>"MICROSCOPIO DE INVESTIGACION"</f>
        <v>MICROSCOPIO DE INVESTIGACION</v>
      </c>
      <c r="G171" s="24" t="s">
        <v>14</v>
      </c>
      <c r="H171" s="24" t="s">
        <v>15</v>
      </c>
      <c r="I171" s="25">
        <v>1</v>
      </c>
      <c r="J171" s="26" t="s">
        <v>16</v>
      </c>
      <c r="K171" s="10">
        <v>25</v>
      </c>
    </row>
    <row r="172" spans="1:11" ht="36.75" x14ac:dyDescent="0.3">
      <c r="A172" s="22">
        <v>168</v>
      </c>
      <c r="B172" s="23" t="s">
        <v>22</v>
      </c>
      <c r="C172" s="24" t="str">
        <f t="shared" si="10"/>
        <v>140502</v>
      </c>
      <c r="D172" s="24" t="str">
        <f>"14.140502/2024.00637/BNC"</f>
        <v>14.140502/2024.00637/BNC</v>
      </c>
      <c r="E172" s="24" t="str">
        <f>"140502240637"</f>
        <v>140502240637</v>
      </c>
      <c r="F172" s="24" t="str">
        <f>"REFRIGERADOR PARA LABORATORIO"</f>
        <v>REFRIGERADOR PARA LABORATORIO</v>
      </c>
      <c r="G172" s="24" t="s">
        <v>14</v>
      </c>
      <c r="H172" s="24" t="s">
        <v>15</v>
      </c>
      <c r="I172" s="25">
        <v>1</v>
      </c>
      <c r="J172" s="26" t="s">
        <v>16</v>
      </c>
      <c r="K172" s="10">
        <v>100</v>
      </c>
    </row>
    <row r="173" spans="1:11" ht="36.75" x14ac:dyDescent="0.3">
      <c r="A173" s="22">
        <v>169</v>
      </c>
      <c r="B173" s="23" t="s">
        <v>22</v>
      </c>
      <c r="C173" s="24" t="str">
        <f t="shared" si="10"/>
        <v>140502</v>
      </c>
      <c r="D173" s="24" t="str">
        <f>"14.140502/2024.00638/BNC"</f>
        <v>14.140502/2024.00638/BNC</v>
      </c>
      <c r="E173" s="24" t="str">
        <f>"140502240638"</f>
        <v>140502240638</v>
      </c>
      <c r="F173" s="24" t="str">
        <f t="shared" ref="F173:F236" si="11">"LIBROS DE CONSULTA"</f>
        <v>LIBROS DE CONSULTA</v>
      </c>
      <c r="G173" s="24" t="s">
        <v>14</v>
      </c>
      <c r="H173" s="24" t="s">
        <v>15</v>
      </c>
      <c r="I173" s="25">
        <v>1</v>
      </c>
      <c r="J173" s="26" t="s">
        <v>16</v>
      </c>
      <c r="K173" s="10">
        <v>30</v>
      </c>
    </row>
    <row r="174" spans="1:11" ht="36.75" x14ac:dyDescent="0.3">
      <c r="A174" s="22">
        <v>170</v>
      </c>
      <c r="B174" s="23" t="s">
        <v>22</v>
      </c>
      <c r="C174" s="24" t="str">
        <f t="shared" si="10"/>
        <v>140502</v>
      </c>
      <c r="D174" s="24" t="str">
        <f>"14.140502/2024.00639/BNC"</f>
        <v>14.140502/2024.00639/BNC</v>
      </c>
      <c r="E174" s="24" t="str">
        <f>"140502240639"</f>
        <v>140502240639</v>
      </c>
      <c r="F174" s="24" t="str">
        <f t="shared" si="11"/>
        <v>LIBROS DE CONSULTA</v>
      </c>
      <c r="G174" s="24" t="s">
        <v>14</v>
      </c>
      <c r="H174" s="24" t="s">
        <v>15</v>
      </c>
      <c r="I174" s="25">
        <v>1</v>
      </c>
      <c r="J174" s="26" t="s">
        <v>16</v>
      </c>
      <c r="K174" s="10">
        <v>30</v>
      </c>
    </row>
    <row r="175" spans="1:11" ht="36.75" x14ac:dyDescent="0.3">
      <c r="A175" s="22">
        <v>171</v>
      </c>
      <c r="B175" s="23" t="s">
        <v>22</v>
      </c>
      <c r="C175" s="24" t="str">
        <f t="shared" si="10"/>
        <v>140502</v>
      </c>
      <c r="D175" s="24" t="str">
        <f>"14.140502/2024.00640/BNC"</f>
        <v>14.140502/2024.00640/BNC</v>
      </c>
      <c r="E175" s="24" t="str">
        <f>"140502240640"</f>
        <v>140502240640</v>
      </c>
      <c r="F175" s="24" t="str">
        <f t="shared" si="11"/>
        <v>LIBROS DE CONSULTA</v>
      </c>
      <c r="G175" s="24" t="s">
        <v>14</v>
      </c>
      <c r="H175" s="24" t="s">
        <v>15</v>
      </c>
      <c r="I175" s="25">
        <v>1</v>
      </c>
      <c r="J175" s="26" t="s">
        <v>16</v>
      </c>
      <c r="K175" s="10">
        <v>30</v>
      </c>
    </row>
    <row r="176" spans="1:11" ht="36.75" x14ac:dyDescent="0.3">
      <c r="A176" s="22">
        <v>172</v>
      </c>
      <c r="B176" s="23" t="s">
        <v>22</v>
      </c>
      <c r="C176" s="24" t="str">
        <f t="shared" si="10"/>
        <v>140502</v>
      </c>
      <c r="D176" s="24" t="str">
        <f>"14.140502/2024.00641/BNC"</f>
        <v>14.140502/2024.00641/BNC</v>
      </c>
      <c r="E176" s="24" t="str">
        <f>"140502240641"</f>
        <v>140502240641</v>
      </c>
      <c r="F176" s="24" t="str">
        <f t="shared" si="11"/>
        <v>LIBROS DE CONSULTA</v>
      </c>
      <c r="G176" s="24" t="s">
        <v>14</v>
      </c>
      <c r="H176" s="24" t="s">
        <v>15</v>
      </c>
      <c r="I176" s="25">
        <v>1</v>
      </c>
      <c r="J176" s="26" t="s">
        <v>16</v>
      </c>
      <c r="K176" s="10">
        <v>30</v>
      </c>
    </row>
    <row r="177" spans="1:11" ht="36.75" x14ac:dyDescent="0.3">
      <c r="A177" s="22">
        <v>173</v>
      </c>
      <c r="B177" s="23" t="s">
        <v>22</v>
      </c>
      <c r="C177" s="24" t="str">
        <f t="shared" si="10"/>
        <v>140502</v>
      </c>
      <c r="D177" s="24" t="str">
        <f>"14.140502/2024.00642/BNC"</f>
        <v>14.140502/2024.00642/BNC</v>
      </c>
      <c r="E177" s="24" t="str">
        <f>"140502240642"</f>
        <v>140502240642</v>
      </c>
      <c r="F177" s="24" t="str">
        <f t="shared" si="11"/>
        <v>LIBROS DE CONSULTA</v>
      </c>
      <c r="G177" s="24" t="s">
        <v>14</v>
      </c>
      <c r="H177" s="24" t="s">
        <v>15</v>
      </c>
      <c r="I177" s="25">
        <v>1</v>
      </c>
      <c r="J177" s="26" t="s">
        <v>16</v>
      </c>
      <c r="K177" s="10">
        <v>30</v>
      </c>
    </row>
    <row r="178" spans="1:11" ht="36.75" x14ac:dyDescent="0.3">
      <c r="A178" s="22">
        <v>174</v>
      </c>
      <c r="B178" s="23" t="s">
        <v>22</v>
      </c>
      <c r="C178" s="24" t="str">
        <f t="shared" si="10"/>
        <v>140502</v>
      </c>
      <c r="D178" s="24" t="str">
        <f>"14.140502/2024.00643/BNC"</f>
        <v>14.140502/2024.00643/BNC</v>
      </c>
      <c r="E178" s="24" t="str">
        <f>"140502240643"</f>
        <v>140502240643</v>
      </c>
      <c r="F178" s="24" t="str">
        <f t="shared" si="11"/>
        <v>LIBROS DE CONSULTA</v>
      </c>
      <c r="G178" s="24" t="s">
        <v>14</v>
      </c>
      <c r="H178" s="24" t="s">
        <v>15</v>
      </c>
      <c r="I178" s="25">
        <v>1</v>
      </c>
      <c r="J178" s="26" t="s">
        <v>16</v>
      </c>
      <c r="K178" s="10">
        <v>30</v>
      </c>
    </row>
    <row r="179" spans="1:11" ht="36.75" x14ac:dyDescent="0.3">
      <c r="A179" s="22">
        <v>175</v>
      </c>
      <c r="B179" s="23" t="s">
        <v>22</v>
      </c>
      <c r="C179" s="24" t="str">
        <f t="shared" si="10"/>
        <v>140502</v>
      </c>
      <c r="D179" s="24" t="str">
        <f>"14.140502/2024.00644/BNC"</f>
        <v>14.140502/2024.00644/BNC</v>
      </c>
      <c r="E179" s="24" t="str">
        <f>"140502240644"</f>
        <v>140502240644</v>
      </c>
      <c r="F179" s="24" t="str">
        <f t="shared" si="11"/>
        <v>LIBROS DE CONSULTA</v>
      </c>
      <c r="G179" s="24" t="s">
        <v>14</v>
      </c>
      <c r="H179" s="24" t="s">
        <v>15</v>
      </c>
      <c r="I179" s="25">
        <v>1</v>
      </c>
      <c r="J179" s="26" t="s">
        <v>16</v>
      </c>
      <c r="K179" s="10">
        <v>30</v>
      </c>
    </row>
    <row r="180" spans="1:11" ht="36.75" x14ac:dyDescent="0.3">
      <c r="A180" s="22">
        <v>176</v>
      </c>
      <c r="B180" s="23" t="s">
        <v>22</v>
      </c>
      <c r="C180" s="24" t="str">
        <f t="shared" si="10"/>
        <v>140502</v>
      </c>
      <c r="D180" s="24" t="str">
        <f>"14.140502/2024.00645/BNC"</f>
        <v>14.140502/2024.00645/BNC</v>
      </c>
      <c r="E180" s="24" t="str">
        <f>"140502240645"</f>
        <v>140502240645</v>
      </c>
      <c r="F180" s="24" t="str">
        <f t="shared" si="11"/>
        <v>LIBROS DE CONSULTA</v>
      </c>
      <c r="G180" s="24" t="s">
        <v>14</v>
      </c>
      <c r="H180" s="24" t="s">
        <v>15</v>
      </c>
      <c r="I180" s="25">
        <v>1</v>
      </c>
      <c r="J180" s="26" t="s">
        <v>16</v>
      </c>
      <c r="K180" s="10">
        <v>30</v>
      </c>
    </row>
    <row r="181" spans="1:11" ht="36.75" x14ac:dyDescent="0.3">
      <c r="A181" s="22">
        <v>177</v>
      </c>
      <c r="B181" s="23" t="s">
        <v>22</v>
      </c>
      <c r="C181" s="24" t="str">
        <f t="shared" si="10"/>
        <v>140502</v>
      </c>
      <c r="D181" s="24" t="str">
        <f>"14.140502/2024.00646/BNC"</f>
        <v>14.140502/2024.00646/BNC</v>
      </c>
      <c r="E181" s="24" t="str">
        <f>"140502240646"</f>
        <v>140502240646</v>
      </c>
      <c r="F181" s="24" t="str">
        <f t="shared" si="11"/>
        <v>LIBROS DE CONSULTA</v>
      </c>
      <c r="G181" s="24" t="s">
        <v>14</v>
      </c>
      <c r="H181" s="24" t="s">
        <v>15</v>
      </c>
      <c r="I181" s="25">
        <v>1</v>
      </c>
      <c r="J181" s="26" t="s">
        <v>16</v>
      </c>
      <c r="K181" s="10">
        <v>30</v>
      </c>
    </row>
    <row r="182" spans="1:11" ht="36.75" x14ac:dyDescent="0.3">
      <c r="A182" s="22">
        <v>178</v>
      </c>
      <c r="B182" s="23" t="s">
        <v>22</v>
      </c>
      <c r="C182" s="24" t="str">
        <f t="shared" si="10"/>
        <v>140502</v>
      </c>
      <c r="D182" s="24" t="str">
        <f>"14.140502/2024.00647/BNC"</f>
        <v>14.140502/2024.00647/BNC</v>
      </c>
      <c r="E182" s="24" t="str">
        <f>"140502240647"</f>
        <v>140502240647</v>
      </c>
      <c r="F182" s="24" t="str">
        <f t="shared" si="11"/>
        <v>LIBROS DE CONSULTA</v>
      </c>
      <c r="G182" s="24" t="s">
        <v>14</v>
      </c>
      <c r="H182" s="24" t="s">
        <v>15</v>
      </c>
      <c r="I182" s="25">
        <v>1</v>
      </c>
      <c r="J182" s="26" t="s">
        <v>16</v>
      </c>
      <c r="K182" s="10">
        <v>30</v>
      </c>
    </row>
    <row r="183" spans="1:11" ht="36.75" x14ac:dyDescent="0.3">
      <c r="A183" s="22">
        <v>179</v>
      </c>
      <c r="B183" s="23" t="s">
        <v>22</v>
      </c>
      <c r="C183" s="24" t="str">
        <f t="shared" si="10"/>
        <v>140502</v>
      </c>
      <c r="D183" s="24" t="str">
        <f>"14.140502/2024.00648/BNC"</f>
        <v>14.140502/2024.00648/BNC</v>
      </c>
      <c r="E183" s="24" t="str">
        <f>"140502240648"</f>
        <v>140502240648</v>
      </c>
      <c r="F183" s="24" t="str">
        <f t="shared" si="11"/>
        <v>LIBROS DE CONSULTA</v>
      </c>
      <c r="G183" s="24" t="s">
        <v>14</v>
      </c>
      <c r="H183" s="24" t="s">
        <v>15</v>
      </c>
      <c r="I183" s="25">
        <v>1</v>
      </c>
      <c r="J183" s="26" t="s">
        <v>16</v>
      </c>
      <c r="K183" s="10">
        <v>30</v>
      </c>
    </row>
    <row r="184" spans="1:11" ht="36.75" x14ac:dyDescent="0.3">
      <c r="A184" s="22">
        <v>180</v>
      </c>
      <c r="B184" s="23" t="s">
        <v>22</v>
      </c>
      <c r="C184" s="24" t="str">
        <f t="shared" si="10"/>
        <v>140502</v>
      </c>
      <c r="D184" s="24" t="str">
        <f>"14.140502/2024.00649/BNC"</f>
        <v>14.140502/2024.00649/BNC</v>
      </c>
      <c r="E184" s="24" t="str">
        <f>"140502240649"</f>
        <v>140502240649</v>
      </c>
      <c r="F184" s="24" t="str">
        <f t="shared" si="11"/>
        <v>LIBROS DE CONSULTA</v>
      </c>
      <c r="G184" s="24" t="s">
        <v>14</v>
      </c>
      <c r="H184" s="24" t="s">
        <v>15</v>
      </c>
      <c r="I184" s="25">
        <v>1</v>
      </c>
      <c r="J184" s="26" t="s">
        <v>16</v>
      </c>
      <c r="K184" s="10">
        <v>30</v>
      </c>
    </row>
    <row r="185" spans="1:11" ht="36.75" x14ac:dyDescent="0.3">
      <c r="A185" s="22">
        <v>181</v>
      </c>
      <c r="B185" s="23" t="s">
        <v>22</v>
      </c>
      <c r="C185" s="24" t="str">
        <f t="shared" si="10"/>
        <v>140502</v>
      </c>
      <c r="D185" s="24" t="str">
        <f>"14.140502/2024.00650/BNC"</f>
        <v>14.140502/2024.00650/BNC</v>
      </c>
      <c r="E185" s="24" t="str">
        <f>"140502240650"</f>
        <v>140502240650</v>
      </c>
      <c r="F185" s="24" t="str">
        <f t="shared" si="11"/>
        <v>LIBROS DE CONSULTA</v>
      </c>
      <c r="G185" s="24" t="s">
        <v>14</v>
      </c>
      <c r="H185" s="24" t="s">
        <v>15</v>
      </c>
      <c r="I185" s="25">
        <v>1</v>
      </c>
      <c r="J185" s="26" t="s">
        <v>16</v>
      </c>
      <c r="K185" s="10">
        <v>30</v>
      </c>
    </row>
    <row r="186" spans="1:11" ht="36.75" x14ac:dyDescent="0.3">
      <c r="A186" s="22">
        <v>182</v>
      </c>
      <c r="B186" s="23" t="s">
        <v>22</v>
      </c>
      <c r="C186" s="24" t="str">
        <f t="shared" si="10"/>
        <v>140502</v>
      </c>
      <c r="D186" s="24" t="str">
        <f>"14.140502/2024.00651/BNC"</f>
        <v>14.140502/2024.00651/BNC</v>
      </c>
      <c r="E186" s="24" t="str">
        <f>"140502240651"</f>
        <v>140502240651</v>
      </c>
      <c r="F186" s="24" t="str">
        <f t="shared" si="11"/>
        <v>LIBROS DE CONSULTA</v>
      </c>
      <c r="G186" s="24" t="s">
        <v>14</v>
      </c>
      <c r="H186" s="24" t="s">
        <v>15</v>
      </c>
      <c r="I186" s="25">
        <v>1</v>
      </c>
      <c r="J186" s="26" t="s">
        <v>16</v>
      </c>
      <c r="K186" s="10">
        <v>30</v>
      </c>
    </row>
    <row r="187" spans="1:11" ht="36.75" x14ac:dyDescent="0.3">
      <c r="A187" s="22">
        <v>183</v>
      </c>
      <c r="B187" s="23" t="s">
        <v>22</v>
      </c>
      <c r="C187" s="24" t="str">
        <f t="shared" si="10"/>
        <v>140502</v>
      </c>
      <c r="D187" s="24" t="str">
        <f>"14.140502/2024.00652/BNC"</f>
        <v>14.140502/2024.00652/BNC</v>
      </c>
      <c r="E187" s="24" t="str">
        <f>"140502240652"</f>
        <v>140502240652</v>
      </c>
      <c r="F187" s="24" t="str">
        <f t="shared" si="11"/>
        <v>LIBROS DE CONSULTA</v>
      </c>
      <c r="G187" s="24" t="s">
        <v>14</v>
      </c>
      <c r="H187" s="24" t="s">
        <v>15</v>
      </c>
      <c r="I187" s="25">
        <v>1</v>
      </c>
      <c r="J187" s="26" t="s">
        <v>16</v>
      </c>
      <c r="K187" s="10">
        <v>30</v>
      </c>
    </row>
    <row r="188" spans="1:11" ht="36.75" x14ac:dyDescent="0.3">
      <c r="A188" s="22">
        <v>184</v>
      </c>
      <c r="B188" s="23" t="s">
        <v>22</v>
      </c>
      <c r="C188" s="24" t="str">
        <f t="shared" si="10"/>
        <v>140502</v>
      </c>
      <c r="D188" s="24" t="str">
        <f>"14.140502/2024.00653/BNC"</f>
        <v>14.140502/2024.00653/BNC</v>
      </c>
      <c r="E188" s="24" t="str">
        <f>"140502240653"</f>
        <v>140502240653</v>
      </c>
      <c r="F188" s="24" t="str">
        <f t="shared" si="11"/>
        <v>LIBROS DE CONSULTA</v>
      </c>
      <c r="G188" s="24" t="s">
        <v>14</v>
      </c>
      <c r="H188" s="24" t="s">
        <v>15</v>
      </c>
      <c r="I188" s="25">
        <v>1</v>
      </c>
      <c r="J188" s="26" t="s">
        <v>16</v>
      </c>
      <c r="K188" s="10">
        <v>30</v>
      </c>
    </row>
    <row r="189" spans="1:11" ht="36.75" x14ac:dyDescent="0.3">
      <c r="A189" s="22">
        <v>185</v>
      </c>
      <c r="B189" s="23" t="s">
        <v>22</v>
      </c>
      <c r="C189" s="24" t="str">
        <f t="shared" si="10"/>
        <v>140502</v>
      </c>
      <c r="D189" s="24" t="str">
        <f>"14.140502/2024.00654/BNC"</f>
        <v>14.140502/2024.00654/BNC</v>
      </c>
      <c r="E189" s="24" t="str">
        <f>"140502240654"</f>
        <v>140502240654</v>
      </c>
      <c r="F189" s="24" t="str">
        <f t="shared" si="11"/>
        <v>LIBROS DE CONSULTA</v>
      </c>
      <c r="G189" s="24" t="s">
        <v>14</v>
      </c>
      <c r="H189" s="24" t="s">
        <v>15</v>
      </c>
      <c r="I189" s="25">
        <v>1</v>
      </c>
      <c r="J189" s="26" t="s">
        <v>16</v>
      </c>
      <c r="K189" s="10">
        <v>30</v>
      </c>
    </row>
    <row r="190" spans="1:11" ht="36.75" x14ac:dyDescent="0.3">
      <c r="A190" s="22">
        <v>186</v>
      </c>
      <c r="B190" s="23" t="s">
        <v>22</v>
      </c>
      <c r="C190" s="24" t="str">
        <f t="shared" si="10"/>
        <v>140502</v>
      </c>
      <c r="D190" s="24" t="str">
        <f>"14.140502/2024.00655/BNC"</f>
        <v>14.140502/2024.00655/BNC</v>
      </c>
      <c r="E190" s="24" t="str">
        <f>"140502240655"</f>
        <v>140502240655</v>
      </c>
      <c r="F190" s="24" t="str">
        <f t="shared" si="11"/>
        <v>LIBROS DE CONSULTA</v>
      </c>
      <c r="G190" s="24" t="s">
        <v>14</v>
      </c>
      <c r="H190" s="24" t="s">
        <v>15</v>
      </c>
      <c r="I190" s="25">
        <v>1</v>
      </c>
      <c r="J190" s="26" t="s">
        <v>16</v>
      </c>
      <c r="K190" s="10">
        <v>30</v>
      </c>
    </row>
    <row r="191" spans="1:11" ht="36.75" x14ac:dyDescent="0.3">
      <c r="A191" s="22">
        <v>187</v>
      </c>
      <c r="B191" s="23" t="s">
        <v>22</v>
      </c>
      <c r="C191" s="24" t="str">
        <f t="shared" si="10"/>
        <v>140502</v>
      </c>
      <c r="D191" s="24" t="str">
        <f>"14.140502/2024.00656/BNC"</f>
        <v>14.140502/2024.00656/BNC</v>
      </c>
      <c r="E191" s="24" t="str">
        <f>"140502240656"</f>
        <v>140502240656</v>
      </c>
      <c r="F191" s="24" t="str">
        <f t="shared" si="11"/>
        <v>LIBROS DE CONSULTA</v>
      </c>
      <c r="G191" s="24" t="s">
        <v>14</v>
      </c>
      <c r="H191" s="24" t="s">
        <v>15</v>
      </c>
      <c r="I191" s="25">
        <v>1</v>
      </c>
      <c r="J191" s="26" t="s">
        <v>16</v>
      </c>
      <c r="K191" s="10">
        <v>30</v>
      </c>
    </row>
    <row r="192" spans="1:11" ht="36.75" x14ac:dyDescent="0.3">
      <c r="A192" s="22">
        <v>188</v>
      </c>
      <c r="B192" s="23" t="s">
        <v>22</v>
      </c>
      <c r="C192" s="24" t="str">
        <f t="shared" si="10"/>
        <v>140502</v>
      </c>
      <c r="D192" s="24" t="str">
        <f>"14.140502/2024.00657/BNC"</f>
        <v>14.140502/2024.00657/BNC</v>
      </c>
      <c r="E192" s="24" t="str">
        <f>"140502240657"</f>
        <v>140502240657</v>
      </c>
      <c r="F192" s="24" t="str">
        <f t="shared" si="11"/>
        <v>LIBROS DE CONSULTA</v>
      </c>
      <c r="G192" s="24" t="s">
        <v>14</v>
      </c>
      <c r="H192" s="24" t="s">
        <v>15</v>
      </c>
      <c r="I192" s="25">
        <v>1</v>
      </c>
      <c r="J192" s="26" t="s">
        <v>16</v>
      </c>
      <c r="K192" s="10">
        <v>30</v>
      </c>
    </row>
    <row r="193" spans="1:11" ht="36.75" x14ac:dyDescent="0.3">
      <c r="A193" s="22">
        <v>189</v>
      </c>
      <c r="B193" s="23" t="s">
        <v>22</v>
      </c>
      <c r="C193" s="24" t="str">
        <f t="shared" si="10"/>
        <v>140502</v>
      </c>
      <c r="D193" s="24" t="str">
        <f>"14.140502/2024.00658/BNC"</f>
        <v>14.140502/2024.00658/BNC</v>
      </c>
      <c r="E193" s="24" t="str">
        <f>"140502240658"</f>
        <v>140502240658</v>
      </c>
      <c r="F193" s="24" t="str">
        <f t="shared" si="11"/>
        <v>LIBROS DE CONSULTA</v>
      </c>
      <c r="G193" s="24" t="s">
        <v>14</v>
      </c>
      <c r="H193" s="24" t="s">
        <v>15</v>
      </c>
      <c r="I193" s="25">
        <v>1</v>
      </c>
      <c r="J193" s="26" t="s">
        <v>16</v>
      </c>
      <c r="K193" s="10">
        <v>30</v>
      </c>
    </row>
    <row r="194" spans="1:11" ht="36.75" x14ac:dyDescent="0.3">
      <c r="A194" s="22">
        <v>190</v>
      </c>
      <c r="B194" s="23" t="s">
        <v>22</v>
      </c>
      <c r="C194" s="24" t="str">
        <f t="shared" si="10"/>
        <v>140502</v>
      </c>
      <c r="D194" s="24" t="str">
        <f>"14.140502/2024.00659/BNC"</f>
        <v>14.140502/2024.00659/BNC</v>
      </c>
      <c r="E194" s="24" t="str">
        <f>"140502240659"</f>
        <v>140502240659</v>
      </c>
      <c r="F194" s="24" t="str">
        <f t="shared" si="11"/>
        <v>LIBROS DE CONSULTA</v>
      </c>
      <c r="G194" s="24" t="s">
        <v>14</v>
      </c>
      <c r="H194" s="24" t="s">
        <v>15</v>
      </c>
      <c r="I194" s="25">
        <v>1</v>
      </c>
      <c r="J194" s="26" t="s">
        <v>16</v>
      </c>
      <c r="K194" s="10">
        <v>30</v>
      </c>
    </row>
    <row r="195" spans="1:11" ht="36.75" x14ac:dyDescent="0.3">
      <c r="A195" s="22">
        <v>191</v>
      </c>
      <c r="B195" s="23" t="s">
        <v>22</v>
      </c>
      <c r="C195" s="24" t="str">
        <f t="shared" si="10"/>
        <v>140502</v>
      </c>
      <c r="D195" s="24" t="str">
        <f>"14.140502/2024.00660/BNC"</f>
        <v>14.140502/2024.00660/BNC</v>
      </c>
      <c r="E195" s="24" t="str">
        <f>"140502240660"</f>
        <v>140502240660</v>
      </c>
      <c r="F195" s="24" t="str">
        <f t="shared" si="11"/>
        <v>LIBROS DE CONSULTA</v>
      </c>
      <c r="G195" s="24" t="s">
        <v>14</v>
      </c>
      <c r="H195" s="24" t="s">
        <v>15</v>
      </c>
      <c r="I195" s="25">
        <v>1</v>
      </c>
      <c r="J195" s="26" t="s">
        <v>16</v>
      </c>
      <c r="K195" s="10">
        <v>30</v>
      </c>
    </row>
    <row r="196" spans="1:11" ht="36.75" x14ac:dyDescent="0.3">
      <c r="A196" s="22">
        <v>192</v>
      </c>
      <c r="B196" s="23" t="s">
        <v>22</v>
      </c>
      <c r="C196" s="24" t="str">
        <f t="shared" si="10"/>
        <v>140502</v>
      </c>
      <c r="D196" s="24" t="str">
        <f>"14.140502/2024.00661/BNC"</f>
        <v>14.140502/2024.00661/BNC</v>
      </c>
      <c r="E196" s="24" t="str">
        <f>"140502240661"</f>
        <v>140502240661</v>
      </c>
      <c r="F196" s="24" t="str">
        <f t="shared" si="11"/>
        <v>LIBROS DE CONSULTA</v>
      </c>
      <c r="G196" s="24" t="s">
        <v>14</v>
      </c>
      <c r="H196" s="24" t="s">
        <v>15</v>
      </c>
      <c r="I196" s="25">
        <v>1</v>
      </c>
      <c r="J196" s="26" t="s">
        <v>16</v>
      </c>
      <c r="K196" s="10">
        <v>30</v>
      </c>
    </row>
    <row r="197" spans="1:11" ht="36.75" x14ac:dyDescent="0.3">
      <c r="A197" s="22">
        <v>193</v>
      </c>
      <c r="B197" s="23" t="s">
        <v>22</v>
      </c>
      <c r="C197" s="24" t="str">
        <f t="shared" si="10"/>
        <v>140502</v>
      </c>
      <c r="D197" s="24" t="str">
        <f>"14.140502/2024.00662/BNC"</f>
        <v>14.140502/2024.00662/BNC</v>
      </c>
      <c r="E197" s="24" t="str">
        <f>"140502240662"</f>
        <v>140502240662</v>
      </c>
      <c r="F197" s="24" t="str">
        <f t="shared" si="11"/>
        <v>LIBROS DE CONSULTA</v>
      </c>
      <c r="G197" s="24" t="s">
        <v>14</v>
      </c>
      <c r="H197" s="24" t="s">
        <v>15</v>
      </c>
      <c r="I197" s="25">
        <v>1</v>
      </c>
      <c r="J197" s="26" t="s">
        <v>16</v>
      </c>
      <c r="K197" s="10">
        <v>30</v>
      </c>
    </row>
    <row r="198" spans="1:11" ht="36.75" x14ac:dyDescent="0.3">
      <c r="A198" s="22">
        <v>194</v>
      </c>
      <c r="B198" s="23" t="s">
        <v>22</v>
      </c>
      <c r="C198" s="24" t="str">
        <f t="shared" si="10"/>
        <v>140502</v>
      </c>
      <c r="D198" s="24" t="str">
        <f>"14.140502/2024.00663/BNC"</f>
        <v>14.140502/2024.00663/BNC</v>
      </c>
      <c r="E198" s="24" t="str">
        <f>"140502240663"</f>
        <v>140502240663</v>
      </c>
      <c r="F198" s="24" t="str">
        <f t="shared" si="11"/>
        <v>LIBROS DE CONSULTA</v>
      </c>
      <c r="G198" s="24" t="s">
        <v>14</v>
      </c>
      <c r="H198" s="24" t="s">
        <v>15</v>
      </c>
      <c r="I198" s="25">
        <v>1</v>
      </c>
      <c r="J198" s="26" t="s">
        <v>16</v>
      </c>
      <c r="K198" s="10">
        <v>30</v>
      </c>
    </row>
    <row r="199" spans="1:11" ht="36.75" x14ac:dyDescent="0.3">
      <c r="A199" s="22">
        <v>195</v>
      </c>
      <c r="B199" s="23" t="s">
        <v>22</v>
      </c>
      <c r="C199" s="24" t="str">
        <f t="shared" si="10"/>
        <v>140502</v>
      </c>
      <c r="D199" s="24" t="str">
        <f>"14.140502/2024.00664/BNC"</f>
        <v>14.140502/2024.00664/BNC</v>
      </c>
      <c r="E199" s="24" t="str">
        <f>"140502240664"</f>
        <v>140502240664</v>
      </c>
      <c r="F199" s="24" t="str">
        <f t="shared" si="11"/>
        <v>LIBROS DE CONSULTA</v>
      </c>
      <c r="G199" s="24" t="s">
        <v>14</v>
      </c>
      <c r="H199" s="24" t="s">
        <v>15</v>
      </c>
      <c r="I199" s="25">
        <v>1</v>
      </c>
      <c r="J199" s="26" t="s">
        <v>16</v>
      </c>
      <c r="K199" s="10">
        <v>30</v>
      </c>
    </row>
    <row r="200" spans="1:11" ht="36.75" x14ac:dyDescent="0.3">
      <c r="A200" s="22">
        <v>196</v>
      </c>
      <c r="B200" s="23" t="s">
        <v>22</v>
      </c>
      <c r="C200" s="24" t="str">
        <f t="shared" si="10"/>
        <v>140502</v>
      </c>
      <c r="D200" s="24" t="str">
        <f>"14.140502/2024.00665/BNC"</f>
        <v>14.140502/2024.00665/BNC</v>
      </c>
      <c r="E200" s="24" t="str">
        <f>"140502240665"</f>
        <v>140502240665</v>
      </c>
      <c r="F200" s="24" t="str">
        <f t="shared" si="11"/>
        <v>LIBROS DE CONSULTA</v>
      </c>
      <c r="G200" s="24" t="s">
        <v>14</v>
      </c>
      <c r="H200" s="24" t="s">
        <v>15</v>
      </c>
      <c r="I200" s="25">
        <v>1</v>
      </c>
      <c r="J200" s="26" t="s">
        <v>16</v>
      </c>
      <c r="K200" s="10">
        <v>30</v>
      </c>
    </row>
    <row r="201" spans="1:11" ht="36.75" x14ac:dyDescent="0.3">
      <c r="A201" s="22">
        <v>197</v>
      </c>
      <c r="B201" s="23" t="s">
        <v>22</v>
      </c>
      <c r="C201" s="24" t="str">
        <f t="shared" si="10"/>
        <v>140502</v>
      </c>
      <c r="D201" s="24" t="str">
        <f>"14.140502/2024.00666/BNC"</f>
        <v>14.140502/2024.00666/BNC</v>
      </c>
      <c r="E201" s="24" t="str">
        <f>"140502240666"</f>
        <v>140502240666</v>
      </c>
      <c r="F201" s="24" t="str">
        <f t="shared" si="11"/>
        <v>LIBROS DE CONSULTA</v>
      </c>
      <c r="G201" s="24" t="s">
        <v>14</v>
      </c>
      <c r="H201" s="24" t="s">
        <v>15</v>
      </c>
      <c r="I201" s="25">
        <v>1</v>
      </c>
      <c r="J201" s="26" t="s">
        <v>16</v>
      </c>
      <c r="K201" s="10">
        <v>30</v>
      </c>
    </row>
    <row r="202" spans="1:11" ht="36.75" x14ac:dyDescent="0.3">
      <c r="A202" s="22">
        <v>198</v>
      </c>
      <c r="B202" s="23" t="s">
        <v>22</v>
      </c>
      <c r="C202" s="24" t="str">
        <f t="shared" ref="C202:C265" si="12">"140502"</f>
        <v>140502</v>
      </c>
      <c r="D202" s="24" t="str">
        <f>"14.140502/2024.00667/BNC"</f>
        <v>14.140502/2024.00667/BNC</v>
      </c>
      <c r="E202" s="24" t="str">
        <f>"140502240667"</f>
        <v>140502240667</v>
      </c>
      <c r="F202" s="24" t="str">
        <f t="shared" si="11"/>
        <v>LIBROS DE CONSULTA</v>
      </c>
      <c r="G202" s="24" t="s">
        <v>14</v>
      </c>
      <c r="H202" s="24" t="s">
        <v>15</v>
      </c>
      <c r="I202" s="25">
        <v>1</v>
      </c>
      <c r="J202" s="26" t="s">
        <v>16</v>
      </c>
      <c r="K202" s="10">
        <v>30</v>
      </c>
    </row>
    <row r="203" spans="1:11" ht="36.75" x14ac:dyDescent="0.3">
      <c r="A203" s="22">
        <v>199</v>
      </c>
      <c r="B203" s="23" t="s">
        <v>22</v>
      </c>
      <c r="C203" s="24" t="str">
        <f t="shared" si="12"/>
        <v>140502</v>
      </c>
      <c r="D203" s="24" t="str">
        <f>"14.140502/2024.00668/BNC"</f>
        <v>14.140502/2024.00668/BNC</v>
      </c>
      <c r="E203" s="24" t="str">
        <f>"140502240668"</f>
        <v>140502240668</v>
      </c>
      <c r="F203" s="24" t="str">
        <f t="shared" si="11"/>
        <v>LIBROS DE CONSULTA</v>
      </c>
      <c r="G203" s="24" t="s">
        <v>14</v>
      </c>
      <c r="H203" s="24" t="s">
        <v>15</v>
      </c>
      <c r="I203" s="25">
        <v>1</v>
      </c>
      <c r="J203" s="26" t="s">
        <v>16</v>
      </c>
      <c r="K203" s="10">
        <v>30</v>
      </c>
    </row>
    <row r="204" spans="1:11" ht="36.75" x14ac:dyDescent="0.3">
      <c r="A204" s="22">
        <v>200</v>
      </c>
      <c r="B204" s="23" t="s">
        <v>22</v>
      </c>
      <c r="C204" s="24" t="str">
        <f t="shared" si="12"/>
        <v>140502</v>
      </c>
      <c r="D204" s="24" t="str">
        <f>"14.140502/2024.00669/BNC"</f>
        <v>14.140502/2024.00669/BNC</v>
      </c>
      <c r="E204" s="24" t="str">
        <f>"140502240669"</f>
        <v>140502240669</v>
      </c>
      <c r="F204" s="24" t="str">
        <f t="shared" si="11"/>
        <v>LIBROS DE CONSULTA</v>
      </c>
      <c r="G204" s="24" t="s">
        <v>14</v>
      </c>
      <c r="H204" s="24" t="s">
        <v>15</v>
      </c>
      <c r="I204" s="25">
        <v>1</v>
      </c>
      <c r="J204" s="26" t="s">
        <v>16</v>
      </c>
      <c r="K204" s="10">
        <v>30</v>
      </c>
    </row>
    <row r="205" spans="1:11" ht="36.75" x14ac:dyDescent="0.3">
      <c r="A205" s="22">
        <v>201</v>
      </c>
      <c r="B205" s="23" t="s">
        <v>22</v>
      </c>
      <c r="C205" s="24" t="str">
        <f t="shared" si="12"/>
        <v>140502</v>
      </c>
      <c r="D205" s="24" t="str">
        <f>"14.140502/2024.00670/BNC"</f>
        <v>14.140502/2024.00670/BNC</v>
      </c>
      <c r="E205" s="24" t="str">
        <f>"140502240670"</f>
        <v>140502240670</v>
      </c>
      <c r="F205" s="24" t="str">
        <f t="shared" si="11"/>
        <v>LIBROS DE CONSULTA</v>
      </c>
      <c r="G205" s="24" t="s">
        <v>14</v>
      </c>
      <c r="H205" s="24" t="s">
        <v>15</v>
      </c>
      <c r="I205" s="25">
        <v>1</v>
      </c>
      <c r="J205" s="26" t="s">
        <v>16</v>
      </c>
      <c r="K205" s="10">
        <v>30</v>
      </c>
    </row>
    <row r="206" spans="1:11" ht="36.75" x14ac:dyDescent="0.3">
      <c r="A206" s="22">
        <v>202</v>
      </c>
      <c r="B206" s="23" t="s">
        <v>22</v>
      </c>
      <c r="C206" s="24" t="str">
        <f t="shared" si="12"/>
        <v>140502</v>
      </c>
      <c r="D206" s="24" t="str">
        <f>"14.140502/2024.00671/BNC"</f>
        <v>14.140502/2024.00671/BNC</v>
      </c>
      <c r="E206" s="24" t="str">
        <f>"140502240671"</f>
        <v>140502240671</v>
      </c>
      <c r="F206" s="24" t="str">
        <f t="shared" si="11"/>
        <v>LIBROS DE CONSULTA</v>
      </c>
      <c r="G206" s="24" t="s">
        <v>14</v>
      </c>
      <c r="H206" s="24" t="s">
        <v>15</v>
      </c>
      <c r="I206" s="25">
        <v>1</v>
      </c>
      <c r="J206" s="26" t="s">
        <v>16</v>
      </c>
      <c r="K206" s="10">
        <v>30</v>
      </c>
    </row>
    <row r="207" spans="1:11" ht="36.75" x14ac:dyDescent="0.3">
      <c r="A207" s="22">
        <v>203</v>
      </c>
      <c r="B207" s="23" t="s">
        <v>22</v>
      </c>
      <c r="C207" s="24" t="str">
        <f t="shared" si="12"/>
        <v>140502</v>
      </c>
      <c r="D207" s="24" t="str">
        <f>"14.140502/2024.00672/BNC"</f>
        <v>14.140502/2024.00672/BNC</v>
      </c>
      <c r="E207" s="24" t="str">
        <f>"140502240672"</f>
        <v>140502240672</v>
      </c>
      <c r="F207" s="24" t="str">
        <f t="shared" si="11"/>
        <v>LIBROS DE CONSULTA</v>
      </c>
      <c r="G207" s="24" t="s">
        <v>14</v>
      </c>
      <c r="H207" s="24" t="s">
        <v>15</v>
      </c>
      <c r="I207" s="25">
        <v>1</v>
      </c>
      <c r="J207" s="26" t="s">
        <v>16</v>
      </c>
      <c r="K207" s="10">
        <v>30</v>
      </c>
    </row>
    <row r="208" spans="1:11" ht="36.75" x14ac:dyDescent="0.3">
      <c r="A208" s="22">
        <v>204</v>
      </c>
      <c r="B208" s="23" t="s">
        <v>22</v>
      </c>
      <c r="C208" s="24" t="str">
        <f t="shared" si="12"/>
        <v>140502</v>
      </c>
      <c r="D208" s="24" t="str">
        <f>"14.140502/2024.00673/BNC"</f>
        <v>14.140502/2024.00673/BNC</v>
      </c>
      <c r="E208" s="24" t="str">
        <f>"140502240673"</f>
        <v>140502240673</v>
      </c>
      <c r="F208" s="24" t="str">
        <f t="shared" si="11"/>
        <v>LIBROS DE CONSULTA</v>
      </c>
      <c r="G208" s="24" t="s">
        <v>14</v>
      </c>
      <c r="H208" s="24" t="s">
        <v>15</v>
      </c>
      <c r="I208" s="25">
        <v>1</v>
      </c>
      <c r="J208" s="26" t="s">
        <v>16</v>
      </c>
      <c r="K208" s="10">
        <v>30</v>
      </c>
    </row>
    <row r="209" spans="1:11" ht="36.75" x14ac:dyDescent="0.3">
      <c r="A209" s="22">
        <v>205</v>
      </c>
      <c r="B209" s="23" t="s">
        <v>22</v>
      </c>
      <c r="C209" s="24" t="str">
        <f t="shared" si="12"/>
        <v>140502</v>
      </c>
      <c r="D209" s="24" t="str">
        <f>"14.140502/2024.00674/BNC"</f>
        <v>14.140502/2024.00674/BNC</v>
      </c>
      <c r="E209" s="24" t="str">
        <f>"140502240674"</f>
        <v>140502240674</v>
      </c>
      <c r="F209" s="24" t="str">
        <f t="shared" si="11"/>
        <v>LIBROS DE CONSULTA</v>
      </c>
      <c r="G209" s="24" t="s">
        <v>14</v>
      </c>
      <c r="H209" s="24" t="s">
        <v>15</v>
      </c>
      <c r="I209" s="25">
        <v>1</v>
      </c>
      <c r="J209" s="26" t="s">
        <v>16</v>
      </c>
      <c r="K209" s="10">
        <v>30</v>
      </c>
    </row>
    <row r="210" spans="1:11" ht="36.75" x14ac:dyDescent="0.3">
      <c r="A210" s="22">
        <v>206</v>
      </c>
      <c r="B210" s="23" t="s">
        <v>22</v>
      </c>
      <c r="C210" s="24" t="str">
        <f t="shared" si="12"/>
        <v>140502</v>
      </c>
      <c r="D210" s="24" t="str">
        <f>"14.140502/2024.00675/BNC"</f>
        <v>14.140502/2024.00675/BNC</v>
      </c>
      <c r="E210" s="24" t="str">
        <f>"140502240675"</f>
        <v>140502240675</v>
      </c>
      <c r="F210" s="24" t="str">
        <f t="shared" si="11"/>
        <v>LIBROS DE CONSULTA</v>
      </c>
      <c r="G210" s="24" t="s">
        <v>14</v>
      </c>
      <c r="H210" s="24" t="s">
        <v>15</v>
      </c>
      <c r="I210" s="25">
        <v>1</v>
      </c>
      <c r="J210" s="26" t="s">
        <v>16</v>
      </c>
      <c r="K210" s="10">
        <v>30</v>
      </c>
    </row>
    <row r="211" spans="1:11" ht="36.75" x14ac:dyDescent="0.3">
      <c r="A211" s="22">
        <v>207</v>
      </c>
      <c r="B211" s="23" t="s">
        <v>22</v>
      </c>
      <c r="C211" s="24" t="str">
        <f t="shared" si="12"/>
        <v>140502</v>
      </c>
      <c r="D211" s="24" t="str">
        <f>"14.140502/2024.00676/BNC"</f>
        <v>14.140502/2024.00676/BNC</v>
      </c>
      <c r="E211" s="24" t="str">
        <f>"140502240676"</f>
        <v>140502240676</v>
      </c>
      <c r="F211" s="24" t="str">
        <f t="shared" si="11"/>
        <v>LIBROS DE CONSULTA</v>
      </c>
      <c r="G211" s="24" t="s">
        <v>14</v>
      </c>
      <c r="H211" s="24" t="s">
        <v>15</v>
      </c>
      <c r="I211" s="25">
        <v>1</v>
      </c>
      <c r="J211" s="26" t="s">
        <v>16</v>
      </c>
      <c r="K211" s="10">
        <v>30</v>
      </c>
    </row>
    <row r="212" spans="1:11" ht="36.75" x14ac:dyDescent="0.3">
      <c r="A212" s="22">
        <v>208</v>
      </c>
      <c r="B212" s="23" t="s">
        <v>22</v>
      </c>
      <c r="C212" s="24" t="str">
        <f t="shared" si="12"/>
        <v>140502</v>
      </c>
      <c r="D212" s="24" t="str">
        <f>"14.140502/2024.00677/BNC"</f>
        <v>14.140502/2024.00677/BNC</v>
      </c>
      <c r="E212" s="24" t="str">
        <f>"140502240677"</f>
        <v>140502240677</v>
      </c>
      <c r="F212" s="24" t="str">
        <f t="shared" si="11"/>
        <v>LIBROS DE CONSULTA</v>
      </c>
      <c r="G212" s="24" t="s">
        <v>14</v>
      </c>
      <c r="H212" s="24" t="s">
        <v>15</v>
      </c>
      <c r="I212" s="25">
        <v>1</v>
      </c>
      <c r="J212" s="26" t="s">
        <v>16</v>
      </c>
      <c r="K212" s="10">
        <v>30</v>
      </c>
    </row>
    <row r="213" spans="1:11" ht="36.75" x14ac:dyDescent="0.3">
      <c r="A213" s="22">
        <v>209</v>
      </c>
      <c r="B213" s="23" t="s">
        <v>22</v>
      </c>
      <c r="C213" s="24" t="str">
        <f t="shared" si="12"/>
        <v>140502</v>
      </c>
      <c r="D213" s="24" t="str">
        <f>"14.140502/2024.00678/BNC"</f>
        <v>14.140502/2024.00678/BNC</v>
      </c>
      <c r="E213" s="24" t="str">
        <f>"140502240678"</f>
        <v>140502240678</v>
      </c>
      <c r="F213" s="24" t="str">
        <f t="shared" si="11"/>
        <v>LIBROS DE CONSULTA</v>
      </c>
      <c r="G213" s="24" t="s">
        <v>14</v>
      </c>
      <c r="H213" s="24" t="s">
        <v>15</v>
      </c>
      <c r="I213" s="25">
        <v>1</v>
      </c>
      <c r="J213" s="26" t="s">
        <v>16</v>
      </c>
      <c r="K213" s="10">
        <v>30</v>
      </c>
    </row>
    <row r="214" spans="1:11" ht="36.75" x14ac:dyDescent="0.3">
      <c r="A214" s="22">
        <v>210</v>
      </c>
      <c r="B214" s="23" t="s">
        <v>22</v>
      </c>
      <c r="C214" s="24" t="str">
        <f t="shared" si="12"/>
        <v>140502</v>
      </c>
      <c r="D214" s="24" t="str">
        <f>"14.140502/2024.00679/BNC"</f>
        <v>14.140502/2024.00679/BNC</v>
      </c>
      <c r="E214" s="24" t="str">
        <f>"140502240679"</f>
        <v>140502240679</v>
      </c>
      <c r="F214" s="24" t="str">
        <f t="shared" si="11"/>
        <v>LIBROS DE CONSULTA</v>
      </c>
      <c r="G214" s="24" t="s">
        <v>14</v>
      </c>
      <c r="H214" s="24" t="s">
        <v>15</v>
      </c>
      <c r="I214" s="25">
        <v>1</v>
      </c>
      <c r="J214" s="26" t="s">
        <v>16</v>
      </c>
      <c r="K214" s="10">
        <v>30</v>
      </c>
    </row>
    <row r="215" spans="1:11" ht="36.75" x14ac:dyDescent="0.3">
      <c r="A215" s="22">
        <v>211</v>
      </c>
      <c r="B215" s="23" t="s">
        <v>22</v>
      </c>
      <c r="C215" s="24" t="str">
        <f t="shared" si="12"/>
        <v>140502</v>
      </c>
      <c r="D215" s="24" t="str">
        <f>"14.140502/2024.00680/BNC"</f>
        <v>14.140502/2024.00680/BNC</v>
      </c>
      <c r="E215" s="24" t="str">
        <f>"140502240680"</f>
        <v>140502240680</v>
      </c>
      <c r="F215" s="24" t="str">
        <f t="shared" si="11"/>
        <v>LIBROS DE CONSULTA</v>
      </c>
      <c r="G215" s="24" t="s">
        <v>14</v>
      </c>
      <c r="H215" s="24" t="s">
        <v>15</v>
      </c>
      <c r="I215" s="25">
        <v>1</v>
      </c>
      <c r="J215" s="26" t="s">
        <v>16</v>
      </c>
      <c r="K215" s="10">
        <v>30</v>
      </c>
    </row>
    <row r="216" spans="1:11" ht="36.75" x14ac:dyDescent="0.3">
      <c r="A216" s="22">
        <v>212</v>
      </c>
      <c r="B216" s="23" t="s">
        <v>22</v>
      </c>
      <c r="C216" s="24" t="str">
        <f t="shared" si="12"/>
        <v>140502</v>
      </c>
      <c r="D216" s="24" t="str">
        <f>"14.140502/2024.00681/BNC"</f>
        <v>14.140502/2024.00681/BNC</v>
      </c>
      <c r="E216" s="24" t="str">
        <f>"140502240681"</f>
        <v>140502240681</v>
      </c>
      <c r="F216" s="24" t="str">
        <f t="shared" si="11"/>
        <v>LIBROS DE CONSULTA</v>
      </c>
      <c r="G216" s="24" t="s">
        <v>14</v>
      </c>
      <c r="H216" s="24" t="s">
        <v>15</v>
      </c>
      <c r="I216" s="25">
        <v>1</v>
      </c>
      <c r="J216" s="26" t="s">
        <v>16</v>
      </c>
      <c r="K216" s="10">
        <v>30</v>
      </c>
    </row>
    <row r="217" spans="1:11" ht="36.75" x14ac:dyDescent="0.3">
      <c r="A217" s="22">
        <v>213</v>
      </c>
      <c r="B217" s="23" t="s">
        <v>22</v>
      </c>
      <c r="C217" s="24" t="str">
        <f t="shared" si="12"/>
        <v>140502</v>
      </c>
      <c r="D217" s="24" t="str">
        <f>"14.140502/2024.00682/BNC"</f>
        <v>14.140502/2024.00682/BNC</v>
      </c>
      <c r="E217" s="24" t="str">
        <f>"140502240682"</f>
        <v>140502240682</v>
      </c>
      <c r="F217" s="24" t="str">
        <f t="shared" si="11"/>
        <v>LIBROS DE CONSULTA</v>
      </c>
      <c r="G217" s="24" t="s">
        <v>14</v>
      </c>
      <c r="H217" s="24" t="s">
        <v>15</v>
      </c>
      <c r="I217" s="25">
        <v>1</v>
      </c>
      <c r="J217" s="26" t="s">
        <v>16</v>
      </c>
      <c r="K217" s="10">
        <v>30</v>
      </c>
    </row>
    <row r="218" spans="1:11" ht="36.75" x14ac:dyDescent="0.3">
      <c r="A218" s="22">
        <v>214</v>
      </c>
      <c r="B218" s="23" t="s">
        <v>22</v>
      </c>
      <c r="C218" s="24" t="str">
        <f t="shared" si="12"/>
        <v>140502</v>
      </c>
      <c r="D218" s="24" t="str">
        <f>"14.140502/2024.00683/BNC"</f>
        <v>14.140502/2024.00683/BNC</v>
      </c>
      <c r="E218" s="24" t="str">
        <f>"140502240683"</f>
        <v>140502240683</v>
      </c>
      <c r="F218" s="24" t="str">
        <f t="shared" si="11"/>
        <v>LIBROS DE CONSULTA</v>
      </c>
      <c r="G218" s="24" t="s">
        <v>14</v>
      </c>
      <c r="H218" s="24" t="s">
        <v>15</v>
      </c>
      <c r="I218" s="25">
        <v>1</v>
      </c>
      <c r="J218" s="26" t="s">
        <v>16</v>
      </c>
      <c r="K218" s="10">
        <v>30</v>
      </c>
    </row>
    <row r="219" spans="1:11" ht="36.75" x14ac:dyDescent="0.3">
      <c r="A219" s="22">
        <v>215</v>
      </c>
      <c r="B219" s="23" t="s">
        <v>22</v>
      </c>
      <c r="C219" s="24" t="str">
        <f t="shared" si="12"/>
        <v>140502</v>
      </c>
      <c r="D219" s="24" t="str">
        <f>"14.140502/2024.00684/BNC"</f>
        <v>14.140502/2024.00684/BNC</v>
      </c>
      <c r="E219" s="24" t="str">
        <f>"140502240684"</f>
        <v>140502240684</v>
      </c>
      <c r="F219" s="24" t="str">
        <f t="shared" si="11"/>
        <v>LIBROS DE CONSULTA</v>
      </c>
      <c r="G219" s="24" t="s">
        <v>14</v>
      </c>
      <c r="H219" s="24" t="s">
        <v>15</v>
      </c>
      <c r="I219" s="25">
        <v>1</v>
      </c>
      <c r="J219" s="26" t="s">
        <v>16</v>
      </c>
      <c r="K219" s="10">
        <v>30</v>
      </c>
    </row>
    <row r="220" spans="1:11" ht="36.75" x14ac:dyDescent="0.3">
      <c r="A220" s="22">
        <v>216</v>
      </c>
      <c r="B220" s="23" t="s">
        <v>22</v>
      </c>
      <c r="C220" s="24" t="str">
        <f t="shared" si="12"/>
        <v>140502</v>
      </c>
      <c r="D220" s="24" t="str">
        <f>"14.140502/2024.00685/BNC"</f>
        <v>14.140502/2024.00685/BNC</v>
      </c>
      <c r="E220" s="24" t="str">
        <f>"140502240685"</f>
        <v>140502240685</v>
      </c>
      <c r="F220" s="24" t="str">
        <f t="shared" si="11"/>
        <v>LIBROS DE CONSULTA</v>
      </c>
      <c r="G220" s="24" t="s">
        <v>14</v>
      </c>
      <c r="H220" s="24" t="s">
        <v>15</v>
      </c>
      <c r="I220" s="25">
        <v>1</v>
      </c>
      <c r="J220" s="26" t="s">
        <v>16</v>
      </c>
      <c r="K220" s="10">
        <v>30</v>
      </c>
    </row>
    <row r="221" spans="1:11" ht="36.75" x14ac:dyDescent="0.3">
      <c r="A221" s="22">
        <v>217</v>
      </c>
      <c r="B221" s="23" t="s">
        <v>22</v>
      </c>
      <c r="C221" s="24" t="str">
        <f t="shared" si="12"/>
        <v>140502</v>
      </c>
      <c r="D221" s="24" t="str">
        <f>"14.140502/2024.00686/BNC"</f>
        <v>14.140502/2024.00686/BNC</v>
      </c>
      <c r="E221" s="24" t="str">
        <f>"140502240686"</f>
        <v>140502240686</v>
      </c>
      <c r="F221" s="24" t="str">
        <f t="shared" si="11"/>
        <v>LIBROS DE CONSULTA</v>
      </c>
      <c r="G221" s="24" t="s">
        <v>14</v>
      </c>
      <c r="H221" s="24" t="s">
        <v>15</v>
      </c>
      <c r="I221" s="25">
        <v>1</v>
      </c>
      <c r="J221" s="26" t="s">
        <v>16</v>
      </c>
      <c r="K221" s="10">
        <v>30</v>
      </c>
    </row>
    <row r="222" spans="1:11" ht="36.75" x14ac:dyDescent="0.3">
      <c r="A222" s="22">
        <v>218</v>
      </c>
      <c r="B222" s="23" t="s">
        <v>22</v>
      </c>
      <c r="C222" s="24" t="str">
        <f t="shared" si="12"/>
        <v>140502</v>
      </c>
      <c r="D222" s="24" t="str">
        <f>"14.140502/2024.00687/BNC"</f>
        <v>14.140502/2024.00687/BNC</v>
      </c>
      <c r="E222" s="24" t="str">
        <f>"140502240687"</f>
        <v>140502240687</v>
      </c>
      <c r="F222" s="24" t="str">
        <f t="shared" si="11"/>
        <v>LIBROS DE CONSULTA</v>
      </c>
      <c r="G222" s="24" t="s">
        <v>14</v>
      </c>
      <c r="H222" s="24" t="s">
        <v>15</v>
      </c>
      <c r="I222" s="25">
        <v>1</v>
      </c>
      <c r="J222" s="26" t="s">
        <v>16</v>
      </c>
      <c r="K222" s="10">
        <v>30</v>
      </c>
    </row>
    <row r="223" spans="1:11" ht="36.75" x14ac:dyDescent="0.3">
      <c r="A223" s="22">
        <v>219</v>
      </c>
      <c r="B223" s="23" t="s">
        <v>22</v>
      </c>
      <c r="C223" s="24" t="str">
        <f t="shared" si="12"/>
        <v>140502</v>
      </c>
      <c r="D223" s="24" t="str">
        <f>"14.140502/2024.00688/BNC"</f>
        <v>14.140502/2024.00688/BNC</v>
      </c>
      <c r="E223" s="24" t="str">
        <f>"140502240688"</f>
        <v>140502240688</v>
      </c>
      <c r="F223" s="24" t="str">
        <f t="shared" si="11"/>
        <v>LIBROS DE CONSULTA</v>
      </c>
      <c r="G223" s="24" t="s">
        <v>14</v>
      </c>
      <c r="H223" s="24" t="s">
        <v>15</v>
      </c>
      <c r="I223" s="25">
        <v>1</v>
      </c>
      <c r="J223" s="26" t="s">
        <v>16</v>
      </c>
      <c r="K223" s="10">
        <v>30</v>
      </c>
    </row>
    <row r="224" spans="1:11" ht="36.75" x14ac:dyDescent="0.3">
      <c r="A224" s="22">
        <v>220</v>
      </c>
      <c r="B224" s="23" t="s">
        <v>22</v>
      </c>
      <c r="C224" s="24" t="str">
        <f t="shared" si="12"/>
        <v>140502</v>
      </c>
      <c r="D224" s="24" t="str">
        <f>"14.140502/2024.00689/BNC"</f>
        <v>14.140502/2024.00689/BNC</v>
      </c>
      <c r="E224" s="24" t="str">
        <f>"140502240689"</f>
        <v>140502240689</v>
      </c>
      <c r="F224" s="24" t="str">
        <f t="shared" si="11"/>
        <v>LIBROS DE CONSULTA</v>
      </c>
      <c r="G224" s="24" t="s">
        <v>14</v>
      </c>
      <c r="H224" s="24" t="s">
        <v>15</v>
      </c>
      <c r="I224" s="25">
        <v>1</v>
      </c>
      <c r="J224" s="26" t="s">
        <v>16</v>
      </c>
      <c r="K224" s="10">
        <v>30</v>
      </c>
    </row>
    <row r="225" spans="1:11" ht="36.75" x14ac:dyDescent="0.3">
      <c r="A225" s="22">
        <v>221</v>
      </c>
      <c r="B225" s="23" t="s">
        <v>22</v>
      </c>
      <c r="C225" s="24" t="str">
        <f t="shared" si="12"/>
        <v>140502</v>
      </c>
      <c r="D225" s="24" t="str">
        <f>"14.140502/2024.00690/BNC"</f>
        <v>14.140502/2024.00690/BNC</v>
      </c>
      <c r="E225" s="24" t="str">
        <f>"140502240690"</f>
        <v>140502240690</v>
      </c>
      <c r="F225" s="24" t="str">
        <f t="shared" si="11"/>
        <v>LIBROS DE CONSULTA</v>
      </c>
      <c r="G225" s="24" t="s">
        <v>14</v>
      </c>
      <c r="H225" s="24" t="s">
        <v>15</v>
      </c>
      <c r="I225" s="25">
        <v>1</v>
      </c>
      <c r="J225" s="26" t="s">
        <v>16</v>
      </c>
      <c r="K225" s="10">
        <v>30</v>
      </c>
    </row>
    <row r="226" spans="1:11" ht="36.75" x14ac:dyDescent="0.3">
      <c r="A226" s="22">
        <v>222</v>
      </c>
      <c r="B226" s="23" t="s">
        <v>22</v>
      </c>
      <c r="C226" s="24" t="str">
        <f t="shared" si="12"/>
        <v>140502</v>
      </c>
      <c r="D226" s="24" t="str">
        <f>"14.140502/2024.00691/BNC"</f>
        <v>14.140502/2024.00691/BNC</v>
      </c>
      <c r="E226" s="24" t="str">
        <f>"140502240691"</f>
        <v>140502240691</v>
      </c>
      <c r="F226" s="24" t="str">
        <f t="shared" si="11"/>
        <v>LIBROS DE CONSULTA</v>
      </c>
      <c r="G226" s="24" t="s">
        <v>14</v>
      </c>
      <c r="H226" s="24" t="s">
        <v>15</v>
      </c>
      <c r="I226" s="25">
        <v>1</v>
      </c>
      <c r="J226" s="26" t="s">
        <v>16</v>
      </c>
      <c r="K226" s="10">
        <v>30</v>
      </c>
    </row>
    <row r="227" spans="1:11" ht="36.75" x14ac:dyDescent="0.3">
      <c r="A227" s="22">
        <v>223</v>
      </c>
      <c r="B227" s="23" t="s">
        <v>22</v>
      </c>
      <c r="C227" s="24" t="str">
        <f t="shared" si="12"/>
        <v>140502</v>
      </c>
      <c r="D227" s="24" t="str">
        <f>"14.140502/2024.00692/BNC"</f>
        <v>14.140502/2024.00692/BNC</v>
      </c>
      <c r="E227" s="24" t="str">
        <f>"140502240692"</f>
        <v>140502240692</v>
      </c>
      <c r="F227" s="24" t="str">
        <f t="shared" si="11"/>
        <v>LIBROS DE CONSULTA</v>
      </c>
      <c r="G227" s="24" t="s">
        <v>14</v>
      </c>
      <c r="H227" s="24" t="s">
        <v>15</v>
      </c>
      <c r="I227" s="25">
        <v>1</v>
      </c>
      <c r="J227" s="26" t="s">
        <v>16</v>
      </c>
      <c r="K227" s="10">
        <v>30</v>
      </c>
    </row>
    <row r="228" spans="1:11" ht="36.75" x14ac:dyDescent="0.3">
      <c r="A228" s="22">
        <v>224</v>
      </c>
      <c r="B228" s="23" t="s">
        <v>22</v>
      </c>
      <c r="C228" s="24" t="str">
        <f t="shared" si="12"/>
        <v>140502</v>
      </c>
      <c r="D228" s="24" t="str">
        <f>"14.140502/2024.00693/BNC"</f>
        <v>14.140502/2024.00693/BNC</v>
      </c>
      <c r="E228" s="24" t="str">
        <f>"140502240693"</f>
        <v>140502240693</v>
      </c>
      <c r="F228" s="24" t="str">
        <f t="shared" si="11"/>
        <v>LIBROS DE CONSULTA</v>
      </c>
      <c r="G228" s="24" t="s">
        <v>14</v>
      </c>
      <c r="H228" s="24" t="s">
        <v>15</v>
      </c>
      <c r="I228" s="25">
        <v>1</v>
      </c>
      <c r="J228" s="26" t="s">
        <v>16</v>
      </c>
      <c r="K228" s="10">
        <v>30</v>
      </c>
    </row>
    <row r="229" spans="1:11" ht="36.75" x14ac:dyDescent="0.3">
      <c r="A229" s="22">
        <v>225</v>
      </c>
      <c r="B229" s="23" t="s">
        <v>22</v>
      </c>
      <c r="C229" s="24" t="str">
        <f t="shared" si="12"/>
        <v>140502</v>
      </c>
      <c r="D229" s="24" t="str">
        <f>"14.140502/2024.00694/BNC"</f>
        <v>14.140502/2024.00694/BNC</v>
      </c>
      <c r="E229" s="24" t="str">
        <f>"140502240694"</f>
        <v>140502240694</v>
      </c>
      <c r="F229" s="24" t="str">
        <f t="shared" si="11"/>
        <v>LIBROS DE CONSULTA</v>
      </c>
      <c r="G229" s="24" t="s">
        <v>14</v>
      </c>
      <c r="H229" s="24" t="s">
        <v>15</v>
      </c>
      <c r="I229" s="25">
        <v>1</v>
      </c>
      <c r="J229" s="26" t="s">
        <v>16</v>
      </c>
      <c r="K229" s="10">
        <v>30</v>
      </c>
    </row>
    <row r="230" spans="1:11" ht="36.75" x14ac:dyDescent="0.3">
      <c r="A230" s="22">
        <v>226</v>
      </c>
      <c r="B230" s="23" t="s">
        <v>22</v>
      </c>
      <c r="C230" s="24" t="str">
        <f t="shared" si="12"/>
        <v>140502</v>
      </c>
      <c r="D230" s="24" t="str">
        <f>"14.140502/2024.00695/BNC"</f>
        <v>14.140502/2024.00695/BNC</v>
      </c>
      <c r="E230" s="24" t="str">
        <f>"140502240695"</f>
        <v>140502240695</v>
      </c>
      <c r="F230" s="24" t="str">
        <f t="shared" si="11"/>
        <v>LIBROS DE CONSULTA</v>
      </c>
      <c r="G230" s="24" t="s">
        <v>14</v>
      </c>
      <c r="H230" s="24" t="s">
        <v>15</v>
      </c>
      <c r="I230" s="25">
        <v>1</v>
      </c>
      <c r="J230" s="26" t="s">
        <v>16</v>
      </c>
      <c r="K230" s="10">
        <v>30</v>
      </c>
    </row>
    <row r="231" spans="1:11" ht="36.75" x14ac:dyDescent="0.3">
      <c r="A231" s="22">
        <v>227</v>
      </c>
      <c r="B231" s="23" t="s">
        <v>22</v>
      </c>
      <c r="C231" s="24" t="str">
        <f t="shared" si="12"/>
        <v>140502</v>
      </c>
      <c r="D231" s="24" t="str">
        <f>"14.140502/2024.00696/BNC"</f>
        <v>14.140502/2024.00696/BNC</v>
      </c>
      <c r="E231" s="24" t="str">
        <f>"140502240696"</f>
        <v>140502240696</v>
      </c>
      <c r="F231" s="24" t="str">
        <f t="shared" si="11"/>
        <v>LIBROS DE CONSULTA</v>
      </c>
      <c r="G231" s="24" t="s">
        <v>14</v>
      </c>
      <c r="H231" s="24" t="s">
        <v>15</v>
      </c>
      <c r="I231" s="25">
        <v>1</v>
      </c>
      <c r="J231" s="26" t="s">
        <v>16</v>
      </c>
      <c r="K231" s="10">
        <v>30</v>
      </c>
    </row>
    <row r="232" spans="1:11" ht="36.75" x14ac:dyDescent="0.3">
      <c r="A232" s="22">
        <v>228</v>
      </c>
      <c r="B232" s="23" t="s">
        <v>22</v>
      </c>
      <c r="C232" s="24" t="str">
        <f t="shared" si="12"/>
        <v>140502</v>
      </c>
      <c r="D232" s="24" t="str">
        <f>"14.140502/2024.00697/BNC"</f>
        <v>14.140502/2024.00697/BNC</v>
      </c>
      <c r="E232" s="24" t="str">
        <f>"140502240697"</f>
        <v>140502240697</v>
      </c>
      <c r="F232" s="24" t="str">
        <f t="shared" si="11"/>
        <v>LIBROS DE CONSULTA</v>
      </c>
      <c r="G232" s="24" t="s">
        <v>14</v>
      </c>
      <c r="H232" s="24" t="s">
        <v>15</v>
      </c>
      <c r="I232" s="25">
        <v>1</v>
      </c>
      <c r="J232" s="26" t="s">
        <v>16</v>
      </c>
      <c r="K232" s="10">
        <v>30</v>
      </c>
    </row>
    <row r="233" spans="1:11" ht="36.75" x14ac:dyDescent="0.3">
      <c r="A233" s="22">
        <v>229</v>
      </c>
      <c r="B233" s="23" t="s">
        <v>22</v>
      </c>
      <c r="C233" s="24" t="str">
        <f t="shared" si="12"/>
        <v>140502</v>
      </c>
      <c r="D233" s="24" t="str">
        <f>"14.140502/2024.00698/BNC"</f>
        <v>14.140502/2024.00698/BNC</v>
      </c>
      <c r="E233" s="24" t="str">
        <f>"140502240698"</f>
        <v>140502240698</v>
      </c>
      <c r="F233" s="24" t="str">
        <f t="shared" si="11"/>
        <v>LIBROS DE CONSULTA</v>
      </c>
      <c r="G233" s="24" t="s">
        <v>14</v>
      </c>
      <c r="H233" s="24" t="s">
        <v>15</v>
      </c>
      <c r="I233" s="25">
        <v>1</v>
      </c>
      <c r="J233" s="26" t="s">
        <v>16</v>
      </c>
      <c r="K233" s="10">
        <v>30</v>
      </c>
    </row>
    <row r="234" spans="1:11" ht="36.75" x14ac:dyDescent="0.3">
      <c r="A234" s="22">
        <v>230</v>
      </c>
      <c r="B234" s="23" t="s">
        <v>22</v>
      </c>
      <c r="C234" s="24" t="str">
        <f t="shared" si="12"/>
        <v>140502</v>
      </c>
      <c r="D234" s="24" t="str">
        <f>"14.140502/2024.00699/BNC"</f>
        <v>14.140502/2024.00699/BNC</v>
      </c>
      <c r="E234" s="24" t="str">
        <f>"140502240699"</f>
        <v>140502240699</v>
      </c>
      <c r="F234" s="24" t="str">
        <f t="shared" si="11"/>
        <v>LIBROS DE CONSULTA</v>
      </c>
      <c r="G234" s="24" t="s">
        <v>14</v>
      </c>
      <c r="H234" s="24" t="s">
        <v>15</v>
      </c>
      <c r="I234" s="25">
        <v>1</v>
      </c>
      <c r="J234" s="26" t="s">
        <v>16</v>
      </c>
      <c r="K234" s="10">
        <v>30</v>
      </c>
    </row>
    <row r="235" spans="1:11" ht="36.75" x14ac:dyDescent="0.3">
      <c r="A235" s="22">
        <v>231</v>
      </c>
      <c r="B235" s="23" t="s">
        <v>22</v>
      </c>
      <c r="C235" s="24" t="str">
        <f t="shared" si="12"/>
        <v>140502</v>
      </c>
      <c r="D235" s="24" t="str">
        <f>"14.140502/2024.00700/BNC"</f>
        <v>14.140502/2024.00700/BNC</v>
      </c>
      <c r="E235" s="24" t="str">
        <f>"140502240700"</f>
        <v>140502240700</v>
      </c>
      <c r="F235" s="24" t="str">
        <f t="shared" si="11"/>
        <v>LIBROS DE CONSULTA</v>
      </c>
      <c r="G235" s="24" t="s">
        <v>14</v>
      </c>
      <c r="H235" s="24" t="s">
        <v>15</v>
      </c>
      <c r="I235" s="25">
        <v>1</v>
      </c>
      <c r="J235" s="26" t="s">
        <v>16</v>
      </c>
      <c r="K235" s="10">
        <v>30</v>
      </c>
    </row>
    <row r="236" spans="1:11" ht="36.75" x14ac:dyDescent="0.3">
      <c r="A236" s="22">
        <v>232</v>
      </c>
      <c r="B236" s="23" t="s">
        <v>22</v>
      </c>
      <c r="C236" s="24" t="str">
        <f t="shared" si="12"/>
        <v>140502</v>
      </c>
      <c r="D236" s="24" t="str">
        <f>"14.140502/2024.00701/BNC"</f>
        <v>14.140502/2024.00701/BNC</v>
      </c>
      <c r="E236" s="24" t="str">
        <f>"140502240701"</f>
        <v>140502240701</v>
      </c>
      <c r="F236" s="24" t="str">
        <f t="shared" si="11"/>
        <v>LIBROS DE CONSULTA</v>
      </c>
      <c r="G236" s="24" t="s">
        <v>14</v>
      </c>
      <c r="H236" s="24" t="s">
        <v>15</v>
      </c>
      <c r="I236" s="25">
        <v>1</v>
      </c>
      <c r="J236" s="26" t="s">
        <v>16</v>
      </c>
      <c r="K236" s="10">
        <v>30</v>
      </c>
    </row>
    <row r="237" spans="1:11" ht="36.75" x14ac:dyDescent="0.3">
      <c r="A237" s="22">
        <v>233</v>
      </c>
      <c r="B237" s="23" t="s">
        <v>22</v>
      </c>
      <c r="C237" s="24" t="str">
        <f t="shared" si="12"/>
        <v>140502</v>
      </c>
      <c r="D237" s="24" t="str">
        <f>"14.140502/2024.00702/BNC"</f>
        <v>14.140502/2024.00702/BNC</v>
      </c>
      <c r="E237" s="24" t="str">
        <f>"140502240702"</f>
        <v>140502240702</v>
      </c>
      <c r="F237" s="24" t="str">
        <f t="shared" ref="F237:F300" si="13">"LIBROS DE CONSULTA"</f>
        <v>LIBROS DE CONSULTA</v>
      </c>
      <c r="G237" s="24" t="s">
        <v>14</v>
      </c>
      <c r="H237" s="24" t="s">
        <v>15</v>
      </c>
      <c r="I237" s="25">
        <v>1</v>
      </c>
      <c r="J237" s="26" t="s">
        <v>16</v>
      </c>
      <c r="K237" s="10">
        <v>30</v>
      </c>
    </row>
    <row r="238" spans="1:11" ht="36.75" x14ac:dyDescent="0.3">
      <c r="A238" s="22">
        <v>234</v>
      </c>
      <c r="B238" s="23" t="s">
        <v>22</v>
      </c>
      <c r="C238" s="24" t="str">
        <f t="shared" si="12"/>
        <v>140502</v>
      </c>
      <c r="D238" s="24" t="str">
        <f>"14.140502/2024.00703/BNC"</f>
        <v>14.140502/2024.00703/BNC</v>
      </c>
      <c r="E238" s="24" t="str">
        <f>"140502240703"</f>
        <v>140502240703</v>
      </c>
      <c r="F238" s="24" t="str">
        <f t="shared" si="13"/>
        <v>LIBROS DE CONSULTA</v>
      </c>
      <c r="G238" s="24" t="s">
        <v>14</v>
      </c>
      <c r="H238" s="24" t="s">
        <v>15</v>
      </c>
      <c r="I238" s="25">
        <v>1</v>
      </c>
      <c r="J238" s="26" t="s">
        <v>16</v>
      </c>
      <c r="K238" s="10">
        <v>30</v>
      </c>
    </row>
    <row r="239" spans="1:11" ht="36.75" x14ac:dyDescent="0.3">
      <c r="A239" s="22">
        <v>235</v>
      </c>
      <c r="B239" s="23" t="s">
        <v>22</v>
      </c>
      <c r="C239" s="24" t="str">
        <f t="shared" si="12"/>
        <v>140502</v>
      </c>
      <c r="D239" s="24" t="str">
        <f>"14.140502/2024.00704/BNC"</f>
        <v>14.140502/2024.00704/BNC</v>
      </c>
      <c r="E239" s="24" t="str">
        <f>"140502240704"</f>
        <v>140502240704</v>
      </c>
      <c r="F239" s="24" t="str">
        <f t="shared" si="13"/>
        <v>LIBROS DE CONSULTA</v>
      </c>
      <c r="G239" s="24" t="s">
        <v>14</v>
      </c>
      <c r="H239" s="24" t="s">
        <v>15</v>
      </c>
      <c r="I239" s="25">
        <v>1</v>
      </c>
      <c r="J239" s="26" t="s">
        <v>16</v>
      </c>
      <c r="K239" s="10">
        <v>30</v>
      </c>
    </row>
    <row r="240" spans="1:11" ht="36.75" x14ac:dyDescent="0.3">
      <c r="A240" s="22">
        <v>236</v>
      </c>
      <c r="B240" s="23" t="s">
        <v>22</v>
      </c>
      <c r="C240" s="24" t="str">
        <f t="shared" si="12"/>
        <v>140502</v>
      </c>
      <c r="D240" s="24" t="str">
        <f>"14.140502/2024.00705/BNC"</f>
        <v>14.140502/2024.00705/BNC</v>
      </c>
      <c r="E240" s="24" t="str">
        <f>"140502240705"</f>
        <v>140502240705</v>
      </c>
      <c r="F240" s="24" t="str">
        <f t="shared" si="13"/>
        <v>LIBROS DE CONSULTA</v>
      </c>
      <c r="G240" s="24" t="s">
        <v>14</v>
      </c>
      <c r="H240" s="24" t="s">
        <v>15</v>
      </c>
      <c r="I240" s="25">
        <v>1</v>
      </c>
      <c r="J240" s="26" t="s">
        <v>16</v>
      </c>
      <c r="K240" s="10">
        <v>30</v>
      </c>
    </row>
    <row r="241" spans="1:11" ht="36.75" x14ac:dyDescent="0.3">
      <c r="A241" s="22">
        <v>237</v>
      </c>
      <c r="B241" s="23" t="s">
        <v>22</v>
      </c>
      <c r="C241" s="24" t="str">
        <f t="shared" si="12"/>
        <v>140502</v>
      </c>
      <c r="D241" s="24" t="str">
        <f>"14.140502/2024.00706/BNC"</f>
        <v>14.140502/2024.00706/BNC</v>
      </c>
      <c r="E241" s="24" t="str">
        <f>"140502240706"</f>
        <v>140502240706</v>
      </c>
      <c r="F241" s="24" t="str">
        <f t="shared" si="13"/>
        <v>LIBROS DE CONSULTA</v>
      </c>
      <c r="G241" s="24" t="s">
        <v>14</v>
      </c>
      <c r="H241" s="24" t="s">
        <v>15</v>
      </c>
      <c r="I241" s="25">
        <v>1</v>
      </c>
      <c r="J241" s="26" t="s">
        <v>16</v>
      </c>
      <c r="K241" s="10">
        <v>30</v>
      </c>
    </row>
    <row r="242" spans="1:11" ht="36.75" x14ac:dyDescent="0.3">
      <c r="A242" s="22">
        <v>238</v>
      </c>
      <c r="B242" s="23" t="s">
        <v>22</v>
      </c>
      <c r="C242" s="24" t="str">
        <f t="shared" si="12"/>
        <v>140502</v>
      </c>
      <c r="D242" s="24" t="str">
        <f>"14.140502/2024.00707/BNC"</f>
        <v>14.140502/2024.00707/BNC</v>
      </c>
      <c r="E242" s="24" t="str">
        <f>"140502240707"</f>
        <v>140502240707</v>
      </c>
      <c r="F242" s="24" t="str">
        <f t="shared" si="13"/>
        <v>LIBROS DE CONSULTA</v>
      </c>
      <c r="G242" s="24" t="s">
        <v>14</v>
      </c>
      <c r="H242" s="24" t="s">
        <v>15</v>
      </c>
      <c r="I242" s="25">
        <v>1</v>
      </c>
      <c r="J242" s="26" t="s">
        <v>16</v>
      </c>
      <c r="K242" s="10">
        <v>30</v>
      </c>
    </row>
    <row r="243" spans="1:11" ht="36.75" x14ac:dyDescent="0.3">
      <c r="A243" s="22">
        <v>239</v>
      </c>
      <c r="B243" s="23" t="s">
        <v>22</v>
      </c>
      <c r="C243" s="24" t="str">
        <f t="shared" si="12"/>
        <v>140502</v>
      </c>
      <c r="D243" s="24" t="str">
        <f>"14.140502/2024.00708/BNC"</f>
        <v>14.140502/2024.00708/BNC</v>
      </c>
      <c r="E243" s="24" t="str">
        <f>"140502240708"</f>
        <v>140502240708</v>
      </c>
      <c r="F243" s="24" t="str">
        <f t="shared" si="13"/>
        <v>LIBROS DE CONSULTA</v>
      </c>
      <c r="G243" s="24" t="s">
        <v>14</v>
      </c>
      <c r="H243" s="24" t="s">
        <v>15</v>
      </c>
      <c r="I243" s="25">
        <v>1</v>
      </c>
      <c r="J243" s="26" t="s">
        <v>16</v>
      </c>
      <c r="K243" s="10">
        <v>30</v>
      </c>
    </row>
    <row r="244" spans="1:11" ht="36.75" x14ac:dyDescent="0.3">
      <c r="A244" s="22">
        <v>240</v>
      </c>
      <c r="B244" s="23" t="s">
        <v>22</v>
      </c>
      <c r="C244" s="24" t="str">
        <f t="shared" si="12"/>
        <v>140502</v>
      </c>
      <c r="D244" s="24" t="str">
        <f>"14.140502/2024.00709/BNC"</f>
        <v>14.140502/2024.00709/BNC</v>
      </c>
      <c r="E244" s="24" t="str">
        <f>"140502240709"</f>
        <v>140502240709</v>
      </c>
      <c r="F244" s="24" t="str">
        <f t="shared" si="13"/>
        <v>LIBROS DE CONSULTA</v>
      </c>
      <c r="G244" s="24" t="s">
        <v>14</v>
      </c>
      <c r="H244" s="24" t="s">
        <v>15</v>
      </c>
      <c r="I244" s="25">
        <v>1</v>
      </c>
      <c r="J244" s="26" t="s">
        <v>16</v>
      </c>
      <c r="K244" s="10">
        <v>30</v>
      </c>
    </row>
    <row r="245" spans="1:11" ht="36.75" x14ac:dyDescent="0.3">
      <c r="A245" s="22">
        <v>241</v>
      </c>
      <c r="B245" s="23" t="s">
        <v>22</v>
      </c>
      <c r="C245" s="24" t="str">
        <f t="shared" si="12"/>
        <v>140502</v>
      </c>
      <c r="D245" s="24" t="str">
        <f>"14.140502/2024.00710/BNC"</f>
        <v>14.140502/2024.00710/BNC</v>
      </c>
      <c r="E245" s="24" t="str">
        <f>"140502240710"</f>
        <v>140502240710</v>
      </c>
      <c r="F245" s="24" t="str">
        <f t="shared" si="13"/>
        <v>LIBROS DE CONSULTA</v>
      </c>
      <c r="G245" s="24" t="s">
        <v>14</v>
      </c>
      <c r="H245" s="24" t="s">
        <v>15</v>
      </c>
      <c r="I245" s="25">
        <v>1</v>
      </c>
      <c r="J245" s="26" t="s">
        <v>16</v>
      </c>
      <c r="K245" s="10">
        <v>30</v>
      </c>
    </row>
    <row r="246" spans="1:11" ht="36.75" x14ac:dyDescent="0.3">
      <c r="A246" s="22">
        <v>242</v>
      </c>
      <c r="B246" s="23" t="s">
        <v>22</v>
      </c>
      <c r="C246" s="24" t="str">
        <f t="shared" si="12"/>
        <v>140502</v>
      </c>
      <c r="D246" s="24" t="str">
        <f>"14.140502/2024.00711/BNC"</f>
        <v>14.140502/2024.00711/BNC</v>
      </c>
      <c r="E246" s="24" t="str">
        <f>"140502240711"</f>
        <v>140502240711</v>
      </c>
      <c r="F246" s="24" t="str">
        <f t="shared" si="13"/>
        <v>LIBROS DE CONSULTA</v>
      </c>
      <c r="G246" s="24" t="s">
        <v>14</v>
      </c>
      <c r="H246" s="24" t="s">
        <v>15</v>
      </c>
      <c r="I246" s="25">
        <v>1</v>
      </c>
      <c r="J246" s="26" t="s">
        <v>16</v>
      </c>
      <c r="K246" s="10">
        <v>30</v>
      </c>
    </row>
    <row r="247" spans="1:11" ht="36.75" x14ac:dyDescent="0.3">
      <c r="A247" s="22">
        <v>243</v>
      </c>
      <c r="B247" s="23" t="s">
        <v>22</v>
      </c>
      <c r="C247" s="24" t="str">
        <f t="shared" si="12"/>
        <v>140502</v>
      </c>
      <c r="D247" s="24" t="str">
        <f>"14.140502/2024.00712/BNC"</f>
        <v>14.140502/2024.00712/BNC</v>
      </c>
      <c r="E247" s="24" t="str">
        <f>"140502240712"</f>
        <v>140502240712</v>
      </c>
      <c r="F247" s="24" t="str">
        <f t="shared" si="13"/>
        <v>LIBROS DE CONSULTA</v>
      </c>
      <c r="G247" s="24" t="s">
        <v>14</v>
      </c>
      <c r="H247" s="24" t="s">
        <v>15</v>
      </c>
      <c r="I247" s="25">
        <v>1</v>
      </c>
      <c r="J247" s="26" t="s">
        <v>16</v>
      </c>
      <c r="K247" s="10">
        <v>30</v>
      </c>
    </row>
    <row r="248" spans="1:11" ht="36.75" x14ac:dyDescent="0.3">
      <c r="A248" s="22">
        <v>244</v>
      </c>
      <c r="B248" s="23" t="s">
        <v>22</v>
      </c>
      <c r="C248" s="24" t="str">
        <f t="shared" si="12"/>
        <v>140502</v>
      </c>
      <c r="D248" s="24" t="str">
        <f>"14.140502/2024.00713/BNC"</f>
        <v>14.140502/2024.00713/BNC</v>
      </c>
      <c r="E248" s="24" t="str">
        <f>"140502240713"</f>
        <v>140502240713</v>
      </c>
      <c r="F248" s="24" t="str">
        <f t="shared" si="13"/>
        <v>LIBROS DE CONSULTA</v>
      </c>
      <c r="G248" s="24" t="s">
        <v>14</v>
      </c>
      <c r="H248" s="24" t="s">
        <v>15</v>
      </c>
      <c r="I248" s="25">
        <v>1</v>
      </c>
      <c r="J248" s="26" t="s">
        <v>16</v>
      </c>
      <c r="K248" s="10">
        <v>30</v>
      </c>
    </row>
    <row r="249" spans="1:11" ht="36.75" x14ac:dyDescent="0.3">
      <c r="A249" s="22">
        <v>245</v>
      </c>
      <c r="B249" s="23" t="s">
        <v>22</v>
      </c>
      <c r="C249" s="24" t="str">
        <f t="shared" si="12"/>
        <v>140502</v>
      </c>
      <c r="D249" s="24" t="str">
        <f>"14.140502/2024.00714/BNC"</f>
        <v>14.140502/2024.00714/BNC</v>
      </c>
      <c r="E249" s="24" t="str">
        <f>"140502240714"</f>
        <v>140502240714</v>
      </c>
      <c r="F249" s="24" t="str">
        <f t="shared" si="13"/>
        <v>LIBROS DE CONSULTA</v>
      </c>
      <c r="G249" s="24" t="s">
        <v>14</v>
      </c>
      <c r="H249" s="24" t="s">
        <v>15</v>
      </c>
      <c r="I249" s="25">
        <v>1</v>
      </c>
      <c r="J249" s="26" t="s">
        <v>16</v>
      </c>
      <c r="K249" s="10">
        <v>30</v>
      </c>
    </row>
    <row r="250" spans="1:11" ht="36.75" x14ac:dyDescent="0.3">
      <c r="A250" s="22">
        <v>246</v>
      </c>
      <c r="B250" s="23" t="s">
        <v>22</v>
      </c>
      <c r="C250" s="24" t="str">
        <f t="shared" si="12"/>
        <v>140502</v>
      </c>
      <c r="D250" s="24" t="str">
        <f>"14.140502/2024.00715/BNC"</f>
        <v>14.140502/2024.00715/BNC</v>
      </c>
      <c r="E250" s="24" t="str">
        <f>"140502240715"</f>
        <v>140502240715</v>
      </c>
      <c r="F250" s="24" t="str">
        <f t="shared" si="13"/>
        <v>LIBROS DE CONSULTA</v>
      </c>
      <c r="G250" s="24" t="s">
        <v>14</v>
      </c>
      <c r="H250" s="24" t="s">
        <v>15</v>
      </c>
      <c r="I250" s="25">
        <v>1</v>
      </c>
      <c r="J250" s="26" t="s">
        <v>16</v>
      </c>
      <c r="K250" s="10">
        <v>30</v>
      </c>
    </row>
    <row r="251" spans="1:11" ht="36.75" x14ac:dyDescent="0.3">
      <c r="A251" s="22">
        <v>247</v>
      </c>
      <c r="B251" s="23" t="s">
        <v>22</v>
      </c>
      <c r="C251" s="24" t="str">
        <f t="shared" si="12"/>
        <v>140502</v>
      </c>
      <c r="D251" s="24" t="str">
        <f>"14.140502/2024.00716/BNC"</f>
        <v>14.140502/2024.00716/BNC</v>
      </c>
      <c r="E251" s="24" t="str">
        <f>"140502240716"</f>
        <v>140502240716</v>
      </c>
      <c r="F251" s="24" t="str">
        <f t="shared" si="13"/>
        <v>LIBROS DE CONSULTA</v>
      </c>
      <c r="G251" s="24" t="s">
        <v>14</v>
      </c>
      <c r="H251" s="24" t="s">
        <v>15</v>
      </c>
      <c r="I251" s="25">
        <v>1</v>
      </c>
      <c r="J251" s="26" t="s">
        <v>16</v>
      </c>
      <c r="K251" s="10">
        <v>30</v>
      </c>
    </row>
    <row r="252" spans="1:11" ht="36.75" x14ac:dyDescent="0.3">
      <c r="A252" s="22">
        <v>248</v>
      </c>
      <c r="B252" s="23" t="s">
        <v>22</v>
      </c>
      <c r="C252" s="24" t="str">
        <f t="shared" si="12"/>
        <v>140502</v>
      </c>
      <c r="D252" s="24" t="str">
        <f>"14.140502/2024.00717/BNC"</f>
        <v>14.140502/2024.00717/BNC</v>
      </c>
      <c r="E252" s="24" t="str">
        <f>"140502240717"</f>
        <v>140502240717</v>
      </c>
      <c r="F252" s="24" t="str">
        <f t="shared" si="13"/>
        <v>LIBROS DE CONSULTA</v>
      </c>
      <c r="G252" s="24" t="s">
        <v>14</v>
      </c>
      <c r="H252" s="24" t="s">
        <v>15</v>
      </c>
      <c r="I252" s="25">
        <v>1</v>
      </c>
      <c r="J252" s="26" t="s">
        <v>16</v>
      </c>
      <c r="K252" s="10">
        <v>30</v>
      </c>
    </row>
    <row r="253" spans="1:11" ht="36.75" x14ac:dyDescent="0.3">
      <c r="A253" s="22">
        <v>249</v>
      </c>
      <c r="B253" s="23" t="s">
        <v>22</v>
      </c>
      <c r="C253" s="24" t="str">
        <f t="shared" si="12"/>
        <v>140502</v>
      </c>
      <c r="D253" s="24" t="str">
        <f>"14.140502/2024.00718/BNC"</f>
        <v>14.140502/2024.00718/BNC</v>
      </c>
      <c r="E253" s="24" t="str">
        <f>"140502240718"</f>
        <v>140502240718</v>
      </c>
      <c r="F253" s="24" t="str">
        <f t="shared" si="13"/>
        <v>LIBROS DE CONSULTA</v>
      </c>
      <c r="G253" s="24" t="s">
        <v>14</v>
      </c>
      <c r="H253" s="24" t="s">
        <v>15</v>
      </c>
      <c r="I253" s="25">
        <v>1</v>
      </c>
      <c r="J253" s="26" t="s">
        <v>16</v>
      </c>
      <c r="K253" s="10">
        <v>30</v>
      </c>
    </row>
    <row r="254" spans="1:11" ht="36.75" x14ac:dyDescent="0.3">
      <c r="A254" s="22">
        <v>250</v>
      </c>
      <c r="B254" s="23" t="s">
        <v>22</v>
      </c>
      <c r="C254" s="24" t="str">
        <f t="shared" si="12"/>
        <v>140502</v>
      </c>
      <c r="D254" s="24" t="str">
        <f>"14.140502/2024.00719/BNC"</f>
        <v>14.140502/2024.00719/BNC</v>
      </c>
      <c r="E254" s="24" t="str">
        <f>"140502240719"</f>
        <v>140502240719</v>
      </c>
      <c r="F254" s="24" t="str">
        <f t="shared" si="13"/>
        <v>LIBROS DE CONSULTA</v>
      </c>
      <c r="G254" s="24" t="s">
        <v>14</v>
      </c>
      <c r="H254" s="24" t="s">
        <v>15</v>
      </c>
      <c r="I254" s="25">
        <v>1</v>
      </c>
      <c r="J254" s="26" t="s">
        <v>16</v>
      </c>
      <c r="K254" s="10">
        <v>30</v>
      </c>
    </row>
    <row r="255" spans="1:11" ht="36.75" x14ac:dyDescent="0.3">
      <c r="A255" s="22">
        <v>251</v>
      </c>
      <c r="B255" s="23" t="s">
        <v>22</v>
      </c>
      <c r="C255" s="24" t="str">
        <f t="shared" si="12"/>
        <v>140502</v>
      </c>
      <c r="D255" s="24" t="str">
        <f>"14.140502/2024.00720/BNC"</f>
        <v>14.140502/2024.00720/BNC</v>
      </c>
      <c r="E255" s="24" t="str">
        <f>"140502240720"</f>
        <v>140502240720</v>
      </c>
      <c r="F255" s="24" t="str">
        <f t="shared" si="13"/>
        <v>LIBROS DE CONSULTA</v>
      </c>
      <c r="G255" s="24" t="s">
        <v>14</v>
      </c>
      <c r="H255" s="24" t="s">
        <v>15</v>
      </c>
      <c r="I255" s="25">
        <v>1</v>
      </c>
      <c r="J255" s="26" t="s">
        <v>16</v>
      </c>
      <c r="K255" s="10">
        <v>30</v>
      </c>
    </row>
    <row r="256" spans="1:11" ht="36.75" x14ac:dyDescent="0.3">
      <c r="A256" s="22">
        <v>252</v>
      </c>
      <c r="B256" s="23" t="s">
        <v>22</v>
      </c>
      <c r="C256" s="24" t="str">
        <f t="shared" si="12"/>
        <v>140502</v>
      </c>
      <c r="D256" s="24" t="str">
        <f>"14.140502/2024.00721/BNC"</f>
        <v>14.140502/2024.00721/BNC</v>
      </c>
      <c r="E256" s="24" t="str">
        <f>"140502240721"</f>
        <v>140502240721</v>
      </c>
      <c r="F256" s="24" t="str">
        <f t="shared" si="13"/>
        <v>LIBROS DE CONSULTA</v>
      </c>
      <c r="G256" s="24" t="s">
        <v>14</v>
      </c>
      <c r="H256" s="24" t="s">
        <v>15</v>
      </c>
      <c r="I256" s="25">
        <v>1</v>
      </c>
      <c r="J256" s="26" t="s">
        <v>16</v>
      </c>
      <c r="K256" s="10">
        <v>30</v>
      </c>
    </row>
    <row r="257" spans="1:11" ht="36.75" x14ac:dyDescent="0.3">
      <c r="A257" s="22">
        <v>253</v>
      </c>
      <c r="B257" s="23" t="s">
        <v>22</v>
      </c>
      <c r="C257" s="24" t="str">
        <f t="shared" si="12"/>
        <v>140502</v>
      </c>
      <c r="D257" s="24" t="str">
        <f>"14.140502/2024.00722/BNC"</f>
        <v>14.140502/2024.00722/BNC</v>
      </c>
      <c r="E257" s="24" t="str">
        <f>"140502240722"</f>
        <v>140502240722</v>
      </c>
      <c r="F257" s="24" t="str">
        <f t="shared" si="13"/>
        <v>LIBROS DE CONSULTA</v>
      </c>
      <c r="G257" s="24" t="s">
        <v>14</v>
      </c>
      <c r="H257" s="24" t="s">
        <v>15</v>
      </c>
      <c r="I257" s="25">
        <v>1</v>
      </c>
      <c r="J257" s="26" t="s">
        <v>16</v>
      </c>
      <c r="K257" s="10">
        <v>30</v>
      </c>
    </row>
    <row r="258" spans="1:11" ht="36.75" x14ac:dyDescent="0.3">
      <c r="A258" s="22">
        <v>254</v>
      </c>
      <c r="B258" s="23" t="s">
        <v>22</v>
      </c>
      <c r="C258" s="24" t="str">
        <f t="shared" si="12"/>
        <v>140502</v>
      </c>
      <c r="D258" s="24" t="str">
        <f>"14.140502/2024.00723/BNC"</f>
        <v>14.140502/2024.00723/BNC</v>
      </c>
      <c r="E258" s="24" t="str">
        <f>"140502240723"</f>
        <v>140502240723</v>
      </c>
      <c r="F258" s="24" t="str">
        <f t="shared" si="13"/>
        <v>LIBROS DE CONSULTA</v>
      </c>
      <c r="G258" s="24" t="s">
        <v>14</v>
      </c>
      <c r="H258" s="24" t="s">
        <v>15</v>
      </c>
      <c r="I258" s="25">
        <v>1</v>
      </c>
      <c r="J258" s="26" t="s">
        <v>16</v>
      </c>
      <c r="K258" s="10">
        <v>30</v>
      </c>
    </row>
    <row r="259" spans="1:11" ht="36.75" x14ac:dyDescent="0.3">
      <c r="A259" s="22">
        <v>255</v>
      </c>
      <c r="B259" s="23" t="s">
        <v>22</v>
      </c>
      <c r="C259" s="24" t="str">
        <f t="shared" si="12"/>
        <v>140502</v>
      </c>
      <c r="D259" s="24" t="str">
        <f>"14.140502/2024.00724/BNC"</f>
        <v>14.140502/2024.00724/BNC</v>
      </c>
      <c r="E259" s="24" t="str">
        <f>"140502240724"</f>
        <v>140502240724</v>
      </c>
      <c r="F259" s="24" t="str">
        <f t="shared" si="13"/>
        <v>LIBROS DE CONSULTA</v>
      </c>
      <c r="G259" s="24" t="s">
        <v>14</v>
      </c>
      <c r="H259" s="24" t="s">
        <v>15</v>
      </c>
      <c r="I259" s="25">
        <v>1</v>
      </c>
      <c r="J259" s="26" t="s">
        <v>16</v>
      </c>
      <c r="K259" s="10">
        <v>30</v>
      </c>
    </row>
    <row r="260" spans="1:11" ht="36.75" x14ac:dyDescent="0.3">
      <c r="A260" s="22">
        <v>256</v>
      </c>
      <c r="B260" s="23" t="s">
        <v>22</v>
      </c>
      <c r="C260" s="24" t="str">
        <f t="shared" si="12"/>
        <v>140502</v>
      </c>
      <c r="D260" s="24" t="str">
        <f>"14.140502/2024.00725/BNC"</f>
        <v>14.140502/2024.00725/BNC</v>
      </c>
      <c r="E260" s="24" t="str">
        <f>"140502240725"</f>
        <v>140502240725</v>
      </c>
      <c r="F260" s="24" t="str">
        <f t="shared" si="13"/>
        <v>LIBROS DE CONSULTA</v>
      </c>
      <c r="G260" s="24" t="s">
        <v>14</v>
      </c>
      <c r="H260" s="24" t="s">
        <v>15</v>
      </c>
      <c r="I260" s="25">
        <v>1</v>
      </c>
      <c r="J260" s="26" t="s">
        <v>16</v>
      </c>
      <c r="K260" s="10">
        <v>30</v>
      </c>
    </row>
    <row r="261" spans="1:11" ht="36.75" x14ac:dyDescent="0.3">
      <c r="A261" s="22">
        <v>257</v>
      </c>
      <c r="B261" s="23" t="s">
        <v>22</v>
      </c>
      <c r="C261" s="24" t="str">
        <f t="shared" si="12"/>
        <v>140502</v>
      </c>
      <c r="D261" s="24" t="str">
        <f>"14.140502/2024.00726/BNC"</f>
        <v>14.140502/2024.00726/BNC</v>
      </c>
      <c r="E261" s="24" t="str">
        <f>"140502240726"</f>
        <v>140502240726</v>
      </c>
      <c r="F261" s="24" t="str">
        <f t="shared" si="13"/>
        <v>LIBROS DE CONSULTA</v>
      </c>
      <c r="G261" s="24" t="s">
        <v>14</v>
      </c>
      <c r="H261" s="24" t="s">
        <v>15</v>
      </c>
      <c r="I261" s="25">
        <v>1</v>
      </c>
      <c r="J261" s="26" t="s">
        <v>16</v>
      </c>
      <c r="K261" s="10">
        <v>30</v>
      </c>
    </row>
    <row r="262" spans="1:11" ht="36.75" x14ac:dyDescent="0.3">
      <c r="A262" s="22">
        <v>258</v>
      </c>
      <c r="B262" s="23" t="s">
        <v>22</v>
      </c>
      <c r="C262" s="24" t="str">
        <f t="shared" si="12"/>
        <v>140502</v>
      </c>
      <c r="D262" s="24" t="str">
        <f>"14.140502/2024.00727/BNC"</f>
        <v>14.140502/2024.00727/BNC</v>
      </c>
      <c r="E262" s="24" t="str">
        <f>"140502240727"</f>
        <v>140502240727</v>
      </c>
      <c r="F262" s="24" t="str">
        <f t="shared" si="13"/>
        <v>LIBROS DE CONSULTA</v>
      </c>
      <c r="G262" s="24" t="s">
        <v>14</v>
      </c>
      <c r="H262" s="24" t="s">
        <v>15</v>
      </c>
      <c r="I262" s="25">
        <v>1</v>
      </c>
      <c r="J262" s="26" t="s">
        <v>16</v>
      </c>
      <c r="K262" s="10">
        <v>30</v>
      </c>
    </row>
    <row r="263" spans="1:11" ht="36.75" x14ac:dyDescent="0.3">
      <c r="A263" s="22">
        <v>259</v>
      </c>
      <c r="B263" s="23" t="s">
        <v>22</v>
      </c>
      <c r="C263" s="24" t="str">
        <f t="shared" si="12"/>
        <v>140502</v>
      </c>
      <c r="D263" s="24" t="str">
        <f>"14.140502/2024.00728/BNC"</f>
        <v>14.140502/2024.00728/BNC</v>
      </c>
      <c r="E263" s="24" t="str">
        <f>"140502240728"</f>
        <v>140502240728</v>
      </c>
      <c r="F263" s="24" t="str">
        <f t="shared" si="13"/>
        <v>LIBROS DE CONSULTA</v>
      </c>
      <c r="G263" s="24" t="s">
        <v>14</v>
      </c>
      <c r="H263" s="24" t="s">
        <v>15</v>
      </c>
      <c r="I263" s="25">
        <v>1</v>
      </c>
      <c r="J263" s="26" t="s">
        <v>16</v>
      </c>
      <c r="K263" s="10">
        <v>30</v>
      </c>
    </row>
    <row r="264" spans="1:11" ht="36.75" x14ac:dyDescent="0.3">
      <c r="A264" s="22">
        <v>260</v>
      </c>
      <c r="B264" s="23" t="s">
        <v>22</v>
      </c>
      <c r="C264" s="24" t="str">
        <f t="shared" si="12"/>
        <v>140502</v>
      </c>
      <c r="D264" s="24" t="str">
        <f>"14.140502/2024.00729/BNC"</f>
        <v>14.140502/2024.00729/BNC</v>
      </c>
      <c r="E264" s="24" t="str">
        <f>"140502240729"</f>
        <v>140502240729</v>
      </c>
      <c r="F264" s="24" t="str">
        <f t="shared" si="13"/>
        <v>LIBROS DE CONSULTA</v>
      </c>
      <c r="G264" s="24" t="s">
        <v>14</v>
      </c>
      <c r="H264" s="24" t="s">
        <v>15</v>
      </c>
      <c r="I264" s="25">
        <v>1</v>
      </c>
      <c r="J264" s="26" t="s">
        <v>16</v>
      </c>
      <c r="K264" s="10">
        <v>30</v>
      </c>
    </row>
    <row r="265" spans="1:11" ht="36.75" x14ac:dyDescent="0.3">
      <c r="A265" s="22">
        <v>261</v>
      </c>
      <c r="B265" s="23" t="s">
        <v>22</v>
      </c>
      <c r="C265" s="24" t="str">
        <f t="shared" si="12"/>
        <v>140502</v>
      </c>
      <c r="D265" s="24" t="str">
        <f>"14.140502/2024.00730/BNC"</f>
        <v>14.140502/2024.00730/BNC</v>
      </c>
      <c r="E265" s="24" t="str">
        <f>"140502240730"</f>
        <v>140502240730</v>
      </c>
      <c r="F265" s="24" t="str">
        <f t="shared" si="13"/>
        <v>LIBROS DE CONSULTA</v>
      </c>
      <c r="G265" s="24" t="s">
        <v>14</v>
      </c>
      <c r="H265" s="24" t="s">
        <v>15</v>
      </c>
      <c r="I265" s="25">
        <v>1</v>
      </c>
      <c r="J265" s="26" t="s">
        <v>16</v>
      </c>
      <c r="K265" s="10">
        <v>30</v>
      </c>
    </row>
    <row r="266" spans="1:11" ht="36.75" x14ac:dyDescent="0.3">
      <c r="A266" s="22">
        <v>262</v>
      </c>
      <c r="B266" s="23" t="s">
        <v>22</v>
      </c>
      <c r="C266" s="24" t="str">
        <f t="shared" ref="C266:C329" si="14">"140502"</f>
        <v>140502</v>
      </c>
      <c r="D266" s="24" t="str">
        <f>"14.140502/2024.00731/BNC"</f>
        <v>14.140502/2024.00731/BNC</v>
      </c>
      <c r="E266" s="24" t="str">
        <f>"140502240731"</f>
        <v>140502240731</v>
      </c>
      <c r="F266" s="24" t="str">
        <f t="shared" si="13"/>
        <v>LIBROS DE CONSULTA</v>
      </c>
      <c r="G266" s="24" t="s">
        <v>14</v>
      </c>
      <c r="H266" s="24" t="s">
        <v>15</v>
      </c>
      <c r="I266" s="25">
        <v>1</v>
      </c>
      <c r="J266" s="26" t="s">
        <v>16</v>
      </c>
      <c r="K266" s="10">
        <v>30</v>
      </c>
    </row>
    <row r="267" spans="1:11" ht="36.75" x14ac:dyDescent="0.3">
      <c r="A267" s="22">
        <v>263</v>
      </c>
      <c r="B267" s="23" t="s">
        <v>22</v>
      </c>
      <c r="C267" s="24" t="str">
        <f t="shared" si="14"/>
        <v>140502</v>
      </c>
      <c r="D267" s="24" t="str">
        <f>"14.140502/2024.00732/BNC"</f>
        <v>14.140502/2024.00732/BNC</v>
      </c>
      <c r="E267" s="24" t="str">
        <f>"140502240732"</f>
        <v>140502240732</v>
      </c>
      <c r="F267" s="24" t="str">
        <f t="shared" si="13"/>
        <v>LIBROS DE CONSULTA</v>
      </c>
      <c r="G267" s="24" t="s">
        <v>14</v>
      </c>
      <c r="H267" s="24" t="s">
        <v>15</v>
      </c>
      <c r="I267" s="25">
        <v>1</v>
      </c>
      <c r="J267" s="26" t="s">
        <v>16</v>
      </c>
      <c r="K267" s="10">
        <v>30</v>
      </c>
    </row>
    <row r="268" spans="1:11" ht="36.75" x14ac:dyDescent="0.3">
      <c r="A268" s="22">
        <v>264</v>
      </c>
      <c r="B268" s="23" t="s">
        <v>22</v>
      </c>
      <c r="C268" s="24" t="str">
        <f t="shared" si="14"/>
        <v>140502</v>
      </c>
      <c r="D268" s="24" t="str">
        <f>"14.140502/2024.00733/BNC"</f>
        <v>14.140502/2024.00733/BNC</v>
      </c>
      <c r="E268" s="24" t="str">
        <f>"140502240733"</f>
        <v>140502240733</v>
      </c>
      <c r="F268" s="24" t="str">
        <f t="shared" si="13"/>
        <v>LIBROS DE CONSULTA</v>
      </c>
      <c r="G268" s="24" t="s">
        <v>14</v>
      </c>
      <c r="H268" s="24" t="s">
        <v>15</v>
      </c>
      <c r="I268" s="25">
        <v>1</v>
      </c>
      <c r="J268" s="26" t="s">
        <v>16</v>
      </c>
      <c r="K268" s="10">
        <v>30</v>
      </c>
    </row>
    <row r="269" spans="1:11" ht="36.75" x14ac:dyDescent="0.3">
      <c r="A269" s="22">
        <v>265</v>
      </c>
      <c r="B269" s="23" t="s">
        <v>22</v>
      </c>
      <c r="C269" s="24" t="str">
        <f t="shared" si="14"/>
        <v>140502</v>
      </c>
      <c r="D269" s="24" t="str">
        <f>"14.140502/2024.00734/BNC"</f>
        <v>14.140502/2024.00734/BNC</v>
      </c>
      <c r="E269" s="24" t="str">
        <f>"140502240734"</f>
        <v>140502240734</v>
      </c>
      <c r="F269" s="24" t="str">
        <f t="shared" si="13"/>
        <v>LIBROS DE CONSULTA</v>
      </c>
      <c r="G269" s="24" t="s">
        <v>14</v>
      </c>
      <c r="H269" s="24" t="s">
        <v>15</v>
      </c>
      <c r="I269" s="25">
        <v>1</v>
      </c>
      <c r="J269" s="26" t="s">
        <v>16</v>
      </c>
      <c r="K269" s="10">
        <v>30</v>
      </c>
    </row>
    <row r="270" spans="1:11" ht="36.75" x14ac:dyDescent="0.3">
      <c r="A270" s="22">
        <v>266</v>
      </c>
      <c r="B270" s="23" t="s">
        <v>22</v>
      </c>
      <c r="C270" s="24" t="str">
        <f t="shared" si="14"/>
        <v>140502</v>
      </c>
      <c r="D270" s="24" t="str">
        <f>"14.140502/2024.00735/BNC"</f>
        <v>14.140502/2024.00735/BNC</v>
      </c>
      <c r="E270" s="24" t="str">
        <f>"140502240735"</f>
        <v>140502240735</v>
      </c>
      <c r="F270" s="24" t="str">
        <f t="shared" si="13"/>
        <v>LIBROS DE CONSULTA</v>
      </c>
      <c r="G270" s="24" t="s">
        <v>14</v>
      </c>
      <c r="H270" s="24" t="s">
        <v>15</v>
      </c>
      <c r="I270" s="25">
        <v>1</v>
      </c>
      <c r="J270" s="26" t="s">
        <v>16</v>
      </c>
      <c r="K270" s="10">
        <v>30</v>
      </c>
    </row>
    <row r="271" spans="1:11" ht="36.75" x14ac:dyDescent="0.3">
      <c r="A271" s="22">
        <v>267</v>
      </c>
      <c r="B271" s="23" t="s">
        <v>22</v>
      </c>
      <c r="C271" s="24" t="str">
        <f t="shared" si="14"/>
        <v>140502</v>
      </c>
      <c r="D271" s="24" t="str">
        <f>"14.140502/2024.00736/BNC"</f>
        <v>14.140502/2024.00736/BNC</v>
      </c>
      <c r="E271" s="24" t="str">
        <f>"140502240736"</f>
        <v>140502240736</v>
      </c>
      <c r="F271" s="24" t="str">
        <f t="shared" si="13"/>
        <v>LIBROS DE CONSULTA</v>
      </c>
      <c r="G271" s="24" t="s">
        <v>14</v>
      </c>
      <c r="H271" s="24" t="s">
        <v>15</v>
      </c>
      <c r="I271" s="25">
        <v>1</v>
      </c>
      <c r="J271" s="26" t="s">
        <v>16</v>
      </c>
      <c r="K271" s="10">
        <v>30</v>
      </c>
    </row>
    <row r="272" spans="1:11" ht="36.75" x14ac:dyDescent="0.3">
      <c r="A272" s="22">
        <v>268</v>
      </c>
      <c r="B272" s="23" t="s">
        <v>22</v>
      </c>
      <c r="C272" s="24" t="str">
        <f t="shared" si="14"/>
        <v>140502</v>
      </c>
      <c r="D272" s="24" t="str">
        <f>"14.140502/2024.00737/BNC"</f>
        <v>14.140502/2024.00737/BNC</v>
      </c>
      <c r="E272" s="24" t="str">
        <f>"140502240737"</f>
        <v>140502240737</v>
      </c>
      <c r="F272" s="24" t="str">
        <f t="shared" si="13"/>
        <v>LIBROS DE CONSULTA</v>
      </c>
      <c r="G272" s="24" t="s">
        <v>14</v>
      </c>
      <c r="H272" s="24" t="s">
        <v>15</v>
      </c>
      <c r="I272" s="25">
        <v>1</v>
      </c>
      <c r="J272" s="26" t="s">
        <v>16</v>
      </c>
      <c r="K272" s="10">
        <v>30</v>
      </c>
    </row>
    <row r="273" spans="1:11" ht="36.75" x14ac:dyDescent="0.3">
      <c r="A273" s="22">
        <v>269</v>
      </c>
      <c r="B273" s="23" t="s">
        <v>22</v>
      </c>
      <c r="C273" s="24" t="str">
        <f t="shared" si="14"/>
        <v>140502</v>
      </c>
      <c r="D273" s="24" t="str">
        <f>"14.140502/2024.00738/BNC"</f>
        <v>14.140502/2024.00738/BNC</v>
      </c>
      <c r="E273" s="24" t="str">
        <f>"140502240738"</f>
        <v>140502240738</v>
      </c>
      <c r="F273" s="24" t="str">
        <f t="shared" si="13"/>
        <v>LIBROS DE CONSULTA</v>
      </c>
      <c r="G273" s="24" t="s">
        <v>14</v>
      </c>
      <c r="H273" s="24" t="s">
        <v>15</v>
      </c>
      <c r="I273" s="25">
        <v>1</v>
      </c>
      <c r="J273" s="26" t="s">
        <v>16</v>
      </c>
      <c r="K273" s="10">
        <v>30</v>
      </c>
    </row>
    <row r="274" spans="1:11" ht="36.75" x14ac:dyDescent="0.3">
      <c r="A274" s="22">
        <v>270</v>
      </c>
      <c r="B274" s="23" t="s">
        <v>22</v>
      </c>
      <c r="C274" s="24" t="str">
        <f t="shared" si="14"/>
        <v>140502</v>
      </c>
      <c r="D274" s="24" t="str">
        <f>"14.140502/2024.00739/BNC"</f>
        <v>14.140502/2024.00739/BNC</v>
      </c>
      <c r="E274" s="24" t="str">
        <f>"140502240739"</f>
        <v>140502240739</v>
      </c>
      <c r="F274" s="24" t="str">
        <f t="shared" si="13"/>
        <v>LIBROS DE CONSULTA</v>
      </c>
      <c r="G274" s="24" t="s">
        <v>14</v>
      </c>
      <c r="H274" s="24" t="s">
        <v>15</v>
      </c>
      <c r="I274" s="25">
        <v>1</v>
      </c>
      <c r="J274" s="26" t="s">
        <v>16</v>
      </c>
      <c r="K274" s="10">
        <v>30</v>
      </c>
    </row>
    <row r="275" spans="1:11" ht="36.75" x14ac:dyDescent="0.3">
      <c r="A275" s="22">
        <v>271</v>
      </c>
      <c r="B275" s="23" t="s">
        <v>22</v>
      </c>
      <c r="C275" s="24" t="str">
        <f t="shared" si="14"/>
        <v>140502</v>
      </c>
      <c r="D275" s="24" t="str">
        <f>"14.140502/2024.00740/BNC"</f>
        <v>14.140502/2024.00740/BNC</v>
      </c>
      <c r="E275" s="24" t="str">
        <f>"140502240740"</f>
        <v>140502240740</v>
      </c>
      <c r="F275" s="24" t="str">
        <f t="shared" si="13"/>
        <v>LIBROS DE CONSULTA</v>
      </c>
      <c r="G275" s="24" t="s">
        <v>14</v>
      </c>
      <c r="H275" s="24" t="s">
        <v>15</v>
      </c>
      <c r="I275" s="25">
        <v>1</v>
      </c>
      <c r="J275" s="26" t="s">
        <v>16</v>
      </c>
      <c r="K275" s="10">
        <v>30</v>
      </c>
    </row>
    <row r="276" spans="1:11" ht="36.75" x14ac:dyDescent="0.3">
      <c r="A276" s="22">
        <v>272</v>
      </c>
      <c r="B276" s="23" t="s">
        <v>22</v>
      </c>
      <c r="C276" s="24" t="str">
        <f t="shared" si="14"/>
        <v>140502</v>
      </c>
      <c r="D276" s="24" t="str">
        <f>"14.140502/2024.00741/BNC"</f>
        <v>14.140502/2024.00741/BNC</v>
      </c>
      <c r="E276" s="24" t="str">
        <f>"140502240741"</f>
        <v>140502240741</v>
      </c>
      <c r="F276" s="24" t="str">
        <f t="shared" si="13"/>
        <v>LIBROS DE CONSULTA</v>
      </c>
      <c r="G276" s="24" t="s">
        <v>14</v>
      </c>
      <c r="H276" s="24" t="s">
        <v>15</v>
      </c>
      <c r="I276" s="25">
        <v>1</v>
      </c>
      <c r="J276" s="26" t="s">
        <v>16</v>
      </c>
      <c r="K276" s="10">
        <v>30</v>
      </c>
    </row>
    <row r="277" spans="1:11" ht="36.75" x14ac:dyDescent="0.3">
      <c r="A277" s="22">
        <v>273</v>
      </c>
      <c r="B277" s="23" t="s">
        <v>22</v>
      </c>
      <c r="C277" s="24" t="str">
        <f t="shared" si="14"/>
        <v>140502</v>
      </c>
      <c r="D277" s="24" t="str">
        <f>"14.140502/2024.00742/BNC"</f>
        <v>14.140502/2024.00742/BNC</v>
      </c>
      <c r="E277" s="24" t="str">
        <f>"140502240742"</f>
        <v>140502240742</v>
      </c>
      <c r="F277" s="24" t="str">
        <f t="shared" si="13"/>
        <v>LIBROS DE CONSULTA</v>
      </c>
      <c r="G277" s="24" t="s">
        <v>14</v>
      </c>
      <c r="H277" s="24" t="s">
        <v>15</v>
      </c>
      <c r="I277" s="25">
        <v>1</v>
      </c>
      <c r="J277" s="26" t="s">
        <v>16</v>
      </c>
      <c r="K277" s="10">
        <v>30</v>
      </c>
    </row>
    <row r="278" spans="1:11" ht="36.75" x14ac:dyDescent="0.3">
      <c r="A278" s="22">
        <v>274</v>
      </c>
      <c r="B278" s="23" t="s">
        <v>22</v>
      </c>
      <c r="C278" s="24" t="str">
        <f t="shared" si="14"/>
        <v>140502</v>
      </c>
      <c r="D278" s="24" t="str">
        <f>"14.140502/2024.00743/BNC"</f>
        <v>14.140502/2024.00743/BNC</v>
      </c>
      <c r="E278" s="24" t="str">
        <f>"140502240743"</f>
        <v>140502240743</v>
      </c>
      <c r="F278" s="24" t="str">
        <f t="shared" si="13"/>
        <v>LIBROS DE CONSULTA</v>
      </c>
      <c r="G278" s="24" t="s">
        <v>14</v>
      </c>
      <c r="H278" s="24" t="s">
        <v>15</v>
      </c>
      <c r="I278" s="25">
        <v>1</v>
      </c>
      <c r="J278" s="26" t="s">
        <v>16</v>
      </c>
      <c r="K278" s="10">
        <v>30</v>
      </c>
    </row>
    <row r="279" spans="1:11" ht="36.75" x14ac:dyDescent="0.3">
      <c r="A279" s="22">
        <v>275</v>
      </c>
      <c r="B279" s="23" t="s">
        <v>22</v>
      </c>
      <c r="C279" s="24" t="str">
        <f t="shared" si="14"/>
        <v>140502</v>
      </c>
      <c r="D279" s="24" t="str">
        <f>"14.140502/2024.00744/BNC"</f>
        <v>14.140502/2024.00744/BNC</v>
      </c>
      <c r="E279" s="24" t="str">
        <f>"140502240744"</f>
        <v>140502240744</v>
      </c>
      <c r="F279" s="24" t="str">
        <f t="shared" si="13"/>
        <v>LIBROS DE CONSULTA</v>
      </c>
      <c r="G279" s="24" t="s">
        <v>14</v>
      </c>
      <c r="H279" s="24" t="s">
        <v>15</v>
      </c>
      <c r="I279" s="25">
        <v>1</v>
      </c>
      <c r="J279" s="26" t="s">
        <v>16</v>
      </c>
      <c r="K279" s="10">
        <v>30</v>
      </c>
    </row>
    <row r="280" spans="1:11" ht="36.75" x14ac:dyDescent="0.3">
      <c r="A280" s="22">
        <v>276</v>
      </c>
      <c r="B280" s="23" t="s">
        <v>22</v>
      </c>
      <c r="C280" s="24" t="str">
        <f t="shared" si="14"/>
        <v>140502</v>
      </c>
      <c r="D280" s="24" t="str">
        <f>"14.140502/2024.00745/BNC"</f>
        <v>14.140502/2024.00745/BNC</v>
      </c>
      <c r="E280" s="24" t="str">
        <f>"140502240745"</f>
        <v>140502240745</v>
      </c>
      <c r="F280" s="24" t="str">
        <f t="shared" si="13"/>
        <v>LIBROS DE CONSULTA</v>
      </c>
      <c r="G280" s="24" t="s">
        <v>14</v>
      </c>
      <c r="H280" s="24" t="s">
        <v>15</v>
      </c>
      <c r="I280" s="25">
        <v>1</v>
      </c>
      <c r="J280" s="26" t="s">
        <v>16</v>
      </c>
      <c r="K280" s="10">
        <v>30</v>
      </c>
    </row>
    <row r="281" spans="1:11" ht="36.75" x14ac:dyDescent="0.3">
      <c r="A281" s="22">
        <v>277</v>
      </c>
      <c r="B281" s="23" t="s">
        <v>22</v>
      </c>
      <c r="C281" s="24" t="str">
        <f t="shared" si="14"/>
        <v>140502</v>
      </c>
      <c r="D281" s="24" t="str">
        <f>"14.140502/2024.00746/BNC"</f>
        <v>14.140502/2024.00746/BNC</v>
      </c>
      <c r="E281" s="24" t="str">
        <f>"140502240746"</f>
        <v>140502240746</v>
      </c>
      <c r="F281" s="24" t="str">
        <f t="shared" si="13"/>
        <v>LIBROS DE CONSULTA</v>
      </c>
      <c r="G281" s="24" t="s">
        <v>14</v>
      </c>
      <c r="H281" s="24" t="s">
        <v>15</v>
      </c>
      <c r="I281" s="25">
        <v>1</v>
      </c>
      <c r="J281" s="26" t="s">
        <v>16</v>
      </c>
      <c r="K281" s="10">
        <v>30</v>
      </c>
    </row>
    <row r="282" spans="1:11" ht="36.75" x14ac:dyDescent="0.3">
      <c r="A282" s="22">
        <v>278</v>
      </c>
      <c r="B282" s="23" t="s">
        <v>22</v>
      </c>
      <c r="C282" s="24" t="str">
        <f t="shared" si="14"/>
        <v>140502</v>
      </c>
      <c r="D282" s="24" t="str">
        <f>"14.140502/2024.00747/BNC"</f>
        <v>14.140502/2024.00747/BNC</v>
      </c>
      <c r="E282" s="24" t="str">
        <f>"140502240747"</f>
        <v>140502240747</v>
      </c>
      <c r="F282" s="24" t="str">
        <f t="shared" si="13"/>
        <v>LIBROS DE CONSULTA</v>
      </c>
      <c r="G282" s="24" t="s">
        <v>14</v>
      </c>
      <c r="H282" s="24" t="s">
        <v>15</v>
      </c>
      <c r="I282" s="25">
        <v>1</v>
      </c>
      <c r="J282" s="26" t="s">
        <v>16</v>
      </c>
      <c r="K282" s="10">
        <v>30</v>
      </c>
    </row>
    <row r="283" spans="1:11" ht="36.75" x14ac:dyDescent="0.3">
      <c r="A283" s="22">
        <v>279</v>
      </c>
      <c r="B283" s="23" t="s">
        <v>22</v>
      </c>
      <c r="C283" s="24" t="str">
        <f t="shared" si="14"/>
        <v>140502</v>
      </c>
      <c r="D283" s="24" t="str">
        <f>"14.140502/2024.00748/BNC"</f>
        <v>14.140502/2024.00748/BNC</v>
      </c>
      <c r="E283" s="24" t="str">
        <f>"140502240748"</f>
        <v>140502240748</v>
      </c>
      <c r="F283" s="24" t="str">
        <f t="shared" si="13"/>
        <v>LIBROS DE CONSULTA</v>
      </c>
      <c r="G283" s="24" t="s">
        <v>14</v>
      </c>
      <c r="H283" s="24" t="s">
        <v>15</v>
      </c>
      <c r="I283" s="25">
        <v>1</v>
      </c>
      <c r="J283" s="26" t="s">
        <v>16</v>
      </c>
      <c r="K283" s="10">
        <v>30</v>
      </c>
    </row>
    <row r="284" spans="1:11" ht="36.75" x14ac:dyDescent="0.3">
      <c r="A284" s="22">
        <v>280</v>
      </c>
      <c r="B284" s="23" t="s">
        <v>22</v>
      </c>
      <c r="C284" s="24" t="str">
        <f t="shared" si="14"/>
        <v>140502</v>
      </c>
      <c r="D284" s="24" t="str">
        <f>"14.140502/2024.00749/BNC"</f>
        <v>14.140502/2024.00749/BNC</v>
      </c>
      <c r="E284" s="24" t="str">
        <f>"140502240749"</f>
        <v>140502240749</v>
      </c>
      <c r="F284" s="24" t="str">
        <f t="shared" si="13"/>
        <v>LIBROS DE CONSULTA</v>
      </c>
      <c r="G284" s="24" t="s">
        <v>14</v>
      </c>
      <c r="H284" s="24" t="s">
        <v>15</v>
      </c>
      <c r="I284" s="25">
        <v>1</v>
      </c>
      <c r="J284" s="26" t="s">
        <v>16</v>
      </c>
      <c r="K284" s="10">
        <v>30</v>
      </c>
    </row>
    <row r="285" spans="1:11" ht="36.75" x14ac:dyDescent="0.3">
      <c r="A285" s="22">
        <v>281</v>
      </c>
      <c r="B285" s="23" t="s">
        <v>22</v>
      </c>
      <c r="C285" s="24" t="str">
        <f t="shared" si="14"/>
        <v>140502</v>
      </c>
      <c r="D285" s="24" t="str">
        <f>"14.140502/2024.00750/BNC"</f>
        <v>14.140502/2024.00750/BNC</v>
      </c>
      <c r="E285" s="24" t="str">
        <f>"140502240750"</f>
        <v>140502240750</v>
      </c>
      <c r="F285" s="24" t="str">
        <f t="shared" si="13"/>
        <v>LIBROS DE CONSULTA</v>
      </c>
      <c r="G285" s="24" t="s">
        <v>14</v>
      </c>
      <c r="H285" s="24" t="s">
        <v>15</v>
      </c>
      <c r="I285" s="25">
        <v>1</v>
      </c>
      <c r="J285" s="26" t="s">
        <v>16</v>
      </c>
      <c r="K285" s="10">
        <v>30</v>
      </c>
    </row>
    <row r="286" spans="1:11" ht="36.75" x14ac:dyDescent="0.3">
      <c r="A286" s="22">
        <v>282</v>
      </c>
      <c r="B286" s="23" t="s">
        <v>22</v>
      </c>
      <c r="C286" s="24" t="str">
        <f t="shared" si="14"/>
        <v>140502</v>
      </c>
      <c r="D286" s="24" t="str">
        <f>"14.140502/2024.00751/BNC"</f>
        <v>14.140502/2024.00751/BNC</v>
      </c>
      <c r="E286" s="24" t="str">
        <f>"140502240751"</f>
        <v>140502240751</v>
      </c>
      <c r="F286" s="24" t="str">
        <f t="shared" si="13"/>
        <v>LIBROS DE CONSULTA</v>
      </c>
      <c r="G286" s="24" t="s">
        <v>14</v>
      </c>
      <c r="H286" s="24" t="s">
        <v>15</v>
      </c>
      <c r="I286" s="25">
        <v>1</v>
      </c>
      <c r="J286" s="26" t="s">
        <v>16</v>
      </c>
      <c r="K286" s="10">
        <v>30</v>
      </c>
    </row>
    <row r="287" spans="1:11" ht="36.75" x14ac:dyDescent="0.3">
      <c r="A287" s="22">
        <v>283</v>
      </c>
      <c r="B287" s="23" t="s">
        <v>22</v>
      </c>
      <c r="C287" s="24" t="str">
        <f t="shared" si="14"/>
        <v>140502</v>
      </c>
      <c r="D287" s="24" t="str">
        <f>"14.140502/2024.00752/BNC"</f>
        <v>14.140502/2024.00752/BNC</v>
      </c>
      <c r="E287" s="24" t="str">
        <f>"140502240752"</f>
        <v>140502240752</v>
      </c>
      <c r="F287" s="24" t="str">
        <f t="shared" si="13"/>
        <v>LIBROS DE CONSULTA</v>
      </c>
      <c r="G287" s="24" t="s">
        <v>14</v>
      </c>
      <c r="H287" s="24" t="s">
        <v>15</v>
      </c>
      <c r="I287" s="25">
        <v>1</v>
      </c>
      <c r="J287" s="26" t="s">
        <v>16</v>
      </c>
      <c r="K287" s="10">
        <v>30</v>
      </c>
    </row>
    <row r="288" spans="1:11" ht="36.75" x14ac:dyDescent="0.3">
      <c r="A288" s="22">
        <v>284</v>
      </c>
      <c r="B288" s="23" t="s">
        <v>22</v>
      </c>
      <c r="C288" s="24" t="str">
        <f t="shared" si="14"/>
        <v>140502</v>
      </c>
      <c r="D288" s="24" t="str">
        <f>"14.140502/2024.00753/BNC"</f>
        <v>14.140502/2024.00753/BNC</v>
      </c>
      <c r="E288" s="24" t="str">
        <f>"140502240753"</f>
        <v>140502240753</v>
      </c>
      <c r="F288" s="24" t="str">
        <f t="shared" si="13"/>
        <v>LIBROS DE CONSULTA</v>
      </c>
      <c r="G288" s="24" t="s">
        <v>14</v>
      </c>
      <c r="H288" s="24" t="s">
        <v>15</v>
      </c>
      <c r="I288" s="25">
        <v>1</v>
      </c>
      <c r="J288" s="26" t="s">
        <v>16</v>
      </c>
      <c r="K288" s="10">
        <v>30</v>
      </c>
    </row>
    <row r="289" spans="1:11" ht="36.75" x14ac:dyDescent="0.3">
      <c r="A289" s="22">
        <v>285</v>
      </c>
      <c r="B289" s="23" t="s">
        <v>22</v>
      </c>
      <c r="C289" s="24" t="str">
        <f t="shared" si="14"/>
        <v>140502</v>
      </c>
      <c r="D289" s="24" t="str">
        <f>"14.140502/2024.00754/BNC"</f>
        <v>14.140502/2024.00754/BNC</v>
      </c>
      <c r="E289" s="24" t="str">
        <f>"140502240754"</f>
        <v>140502240754</v>
      </c>
      <c r="F289" s="24" t="str">
        <f t="shared" si="13"/>
        <v>LIBROS DE CONSULTA</v>
      </c>
      <c r="G289" s="24" t="s">
        <v>14</v>
      </c>
      <c r="H289" s="24" t="s">
        <v>15</v>
      </c>
      <c r="I289" s="25">
        <v>1</v>
      </c>
      <c r="J289" s="26" t="s">
        <v>16</v>
      </c>
      <c r="K289" s="10">
        <v>30</v>
      </c>
    </row>
    <row r="290" spans="1:11" ht="36.75" x14ac:dyDescent="0.3">
      <c r="A290" s="22">
        <v>286</v>
      </c>
      <c r="B290" s="23" t="s">
        <v>22</v>
      </c>
      <c r="C290" s="24" t="str">
        <f t="shared" si="14"/>
        <v>140502</v>
      </c>
      <c r="D290" s="24" t="str">
        <f>"14.140502/2024.00755/BNC"</f>
        <v>14.140502/2024.00755/BNC</v>
      </c>
      <c r="E290" s="24" t="str">
        <f>"140502240755"</f>
        <v>140502240755</v>
      </c>
      <c r="F290" s="24" t="str">
        <f t="shared" si="13"/>
        <v>LIBROS DE CONSULTA</v>
      </c>
      <c r="G290" s="24" t="s">
        <v>14</v>
      </c>
      <c r="H290" s="24" t="s">
        <v>15</v>
      </c>
      <c r="I290" s="25">
        <v>1</v>
      </c>
      <c r="J290" s="26" t="s">
        <v>16</v>
      </c>
      <c r="K290" s="10">
        <v>30</v>
      </c>
    </row>
    <row r="291" spans="1:11" ht="36.75" x14ac:dyDescent="0.3">
      <c r="A291" s="22">
        <v>287</v>
      </c>
      <c r="B291" s="23" t="s">
        <v>22</v>
      </c>
      <c r="C291" s="24" t="str">
        <f t="shared" si="14"/>
        <v>140502</v>
      </c>
      <c r="D291" s="24" t="str">
        <f>"14.140502/2024.00756/BNC"</f>
        <v>14.140502/2024.00756/BNC</v>
      </c>
      <c r="E291" s="24" t="str">
        <f>"140502240756"</f>
        <v>140502240756</v>
      </c>
      <c r="F291" s="24" t="str">
        <f t="shared" si="13"/>
        <v>LIBROS DE CONSULTA</v>
      </c>
      <c r="G291" s="24" t="s">
        <v>14</v>
      </c>
      <c r="H291" s="24" t="s">
        <v>15</v>
      </c>
      <c r="I291" s="25">
        <v>1</v>
      </c>
      <c r="J291" s="26" t="s">
        <v>16</v>
      </c>
      <c r="K291" s="10">
        <v>30</v>
      </c>
    </row>
    <row r="292" spans="1:11" ht="36.75" x14ac:dyDescent="0.3">
      <c r="A292" s="22">
        <v>288</v>
      </c>
      <c r="B292" s="23" t="s">
        <v>22</v>
      </c>
      <c r="C292" s="24" t="str">
        <f t="shared" si="14"/>
        <v>140502</v>
      </c>
      <c r="D292" s="24" t="str">
        <f>"14.140502/2024.00757/BNC"</f>
        <v>14.140502/2024.00757/BNC</v>
      </c>
      <c r="E292" s="24" t="str">
        <f>"140502240757"</f>
        <v>140502240757</v>
      </c>
      <c r="F292" s="24" t="str">
        <f t="shared" si="13"/>
        <v>LIBROS DE CONSULTA</v>
      </c>
      <c r="G292" s="24" t="s">
        <v>14</v>
      </c>
      <c r="H292" s="24" t="s">
        <v>15</v>
      </c>
      <c r="I292" s="25">
        <v>1</v>
      </c>
      <c r="J292" s="26" t="s">
        <v>16</v>
      </c>
      <c r="K292" s="10">
        <v>30</v>
      </c>
    </row>
    <row r="293" spans="1:11" ht="36.75" x14ac:dyDescent="0.3">
      <c r="A293" s="22">
        <v>289</v>
      </c>
      <c r="B293" s="23" t="s">
        <v>22</v>
      </c>
      <c r="C293" s="24" t="str">
        <f t="shared" si="14"/>
        <v>140502</v>
      </c>
      <c r="D293" s="24" t="str">
        <f>"14.140502/2024.00758/BNC"</f>
        <v>14.140502/2024.00758/BNC</v>
      </c>
      <c r="E293" s="24" t="str">
        <f>"140502240758"</f>
        <v>140502240758</v>
      </c>
      <c r="F293" s="24" t="str">
        <f t="shared" si="13"/>
        <v>LIBROS DE CONSULTA</v>
      </c>
      <c r="G293" s="24" t="s">
        <v>14</v>
      </c>
      <c r="H293" s="24" t="s">
        <v>15</v>
      </c>
      <c r="I293" s="25">
        <v>1</v>
      </c>
      <c r="J293" s="26" t="s">
        <v>16</v>
      </c>
      <c r="K293" s="10">
        <v>30</v>
      </c>
    </row>
    <row r="294" spans="1:11" ht="36.75" x14ac:dyDescent="0.3">
      <c r="A294" s="22">
        <v>290</v>
      </c>
      <c r="B294" s="23" t="s">
        <v>22</v>
      </c>
      <c r="C294" s="24" t="str">
        <f t="shared" si="14"/>
        <v>140502</v>
      </c>
      <c r="D294" s="24" t="str">
        <f>"14.140502/2024.00759/BNC"</f>
        <v>14.140502/2024.00759/BNC</v>
      </c>
      <c r="E294" s="24" t="str">
        <f>"140502240759"</f>
        <v>140502240759</v>
      </c>
      <c r="F294" s="24" t="str">
        <f t="shared" si="13"/>
        <v>LIBROS DE CONSULTA</v>
      </c>
      <c r="G294" s="24" t="s">
        <v>14</v>
      </c>
      <c r="H294" s="24" t="s">
        <v>15</v>
      </c>
      <c r="I294" s="25">
        <v>1</v>
      </c>
      <c r="J294" s="26" t="s">
        <v>16</v>
      </c>
      <c r="K294" s="10">
        <v>30</v>
      </c>
    </row>
    <row r="295" spans="1:11" ht="36.75" x14ac:dyDescent="0.3">
      <c r="A295" s="22">
        <v>291</v>
      </c>
      <c r="B295" s="23" t="s">
        <v>22</v>
      </c>
      <c r="C295" s="24" t="str">
        <f t="shared" si="14"/>
        <v>140502</v>
      </c>
      <c r="D295" s="24" t="str">
        <f>"14.140502/2024.00760/BNC"</f>
        <v>14.140502/2024.00760/BNC</v>
      </c>
      <c r="E295" s="24" t="str">
        <f>"140502240760"</f>
        <v>140502240760</v>
      </c>
      <c r="F295" s="24" t="str">
        <f t="shared" si="13"/>
        <v>LIBROS DE CONSULTA</v>
      </c>
      <c r="G295" s="24" t="s">
        <v>14</v>
      </c>
      <c r="H295" s="24" t="s">
        <v>15</v>
      </c>
      <c r="I295" s="25">
        <v>1</v>
      </c>
      <c r="J295" s="26" t="s">
        <v>16</v>
      </c>
      <c r="K295" s="10">
        <v>30</v>
      </c>
    </row>
    <row r="296" spans="1:11" ht="36.75" x14ac:dyDescent="0.3">
      <c r="A296" s="22">
        <v>292</v>
      </c>
      <c r="B296" s="23" t="s">
        <v>22</v>
      </c>
      <c r="C296" s="24" t="str">
        <f t="shared" si="14"/>
        <v>140502</v>
      </c>
      <c r="D296" s="24" t="str">
        <f>"14.140502/2024.00761/BNC"</f>
        <v>14.140502/2024.00761/BNC</v>
      </c>
      <c r="E296" s="24" t="str">
        <f>"140502240761"</f>
        <v>140502240761</v>
      </c>
      <c r="F296" s="24" t="str">
        <f t="shared" si="13"/>
        <v>LIBROS DE CONSULTA</v>
      </c>
      <c r="G296" s="24" t="s">
        <v>14</v>
      </c>
      <c r="H296" s="24" t="s">
        <v>15</v>
      </c>
      <c r="I296" s="25">
        <v>1</v>
      </c>
      <c r="J296" s="26" t="s">
        <v>16</v>
      </c>
      <c r="K296" s="10">
        <v>30</v>
      </c>
    </row>
    <row r="297" spans="1:11" ht="36.75" x14ac:dyDescent="0.3">
      <c r="A297" s="22">
        <v>293</v>
      </c>
      <c r="B297" s="23" t="s">
        <v>22</v>
      </c>
      <c r="C297" s="24" t="str">
        <f t="shared" si="14"/>
        <v>140502</v>
      </c>
      <c r="D297" s="24" t="str">
        <f>"14.140502/2024.00762/BNC"</f>
        <v>14.140502/2024.00762/BNC</v>
      </c>
      <c r="E297" s="24" t="str">
        <f>"140502240762"</f>
        <v>140502240762</v>
      </c>
      <c r="F297" s="24" t="str">
        <f t="shared" si="13"/>
        <v>LIBROS DE CONSULTA</v>
      </c>
      <c r="G297" s="24" t="s">
        <v>14</v>
      </c>
      <c r="H297" s="24" t="s">
        <v>15</v>
      </c>
      <c r="I297" s="25">
        <v>1</v>
      </c>
      <c r="J297" s="26" t="s">
        <v>16</v>
      </c>
      <c r="K297" s="10">
        <v>30</v>
      </c>
    </row>
    <row r="298" spans="1:11" ht="36.75" x14ac:dyDescent="0.3">
      <c r="A298" s="22">
        <v>294</v>
      </c>
      <c r="B298" s="23" t="s">
        <v>22</v>
      </c>
      <c r="C298" s="24" t="str">
        <f t="shared" si="14"/>
        <v>140502</v>
      </c>
      <c r="D298" s="24" t="str">
        <f>"14.140502/2024.00763/BNC"</f>
        <v>14.140502/2024.00763/BNC</v>
      </c>
      <c r="E298" s="24" t="str">
        <f>"140502240763"</f>
        <v>140502240763</v>
      </c>
      <c r="F298" s="24" t="str">
        <f t="shared" si="13"/>
        <v>LIBROS DE CONSULTA</v>
      </c>
      <c r="G298" s="24" t="s">
        <v>14</v>
      </c>
      <c r="H298" s="24" t="s">
        <v>15</v>
      </c>
      <c r="I298" s="25">
        <v>1</v>
      </c>
      <c r="J298" s="26" t="s">
        <v>16</v>
      </c>
      <c r="K298" s="10">
        <v>30</v>
      </c>
    </row>
    <row r="299" spans="1:11" ht="36.75" x14ac:dyDescent="0.3">
      <c r="A299" s="22">
        <v>295</v>
      </c>
      <c r="B299" s="23" t="s">
        <v>22</v>
      </c>
      <c r="C299" s="24" t="str">
        <f t="shared" si="14"/>
        <v>140502</v>
      </c>
      <c r="D299" s="24" t="str">
        <f>"14.140502/2024.00764/BNC"</f>
        <v>14.140502/2024.00764/BNC</v>
      </c>
      <c r="E299" s="24" t="str">
        <f>"140502240764"</f>
        <v>140502240764</v>
      </c>
      <c r="F299" s="24" t="str">
        <f t="shared" si="13"/>
        <v>LIBROS DE CONSULTA</v>
      </c>
      <c r="G299" s="24" t="s">
        <v>14</v>
      </c>
      <c r="H299" s="24" t="s">
        <v>15</v>
      </c>
      <c r="I299" s="25">
        <v>1</v>
      </c>
      <c r="J299" s="26" t="s">
        <v>16</v>
      </c>
      <c r="K299" s="10">
        <v>30</v>
      </c>
    </row>
    <row r="300" spans="1:11" ht="36.75" x14ac:dyDescent="0.3">
      <c r="A300" s="22">
        <v>296</v>
      </c>
      <c r="B300" s="23" t="s">
        <v>22</v>
      </c>
      <c r="C300" s="24" t="str">
        <f t="shared" si="14"/>
        <v>140502</v>
      </c>
      <c r="D300" s="24" t="str">
        <f>"14.140502/2024.00765/BNC"</f>
        <v>14.140502/2024.00765/BNC</v>
      </c>
      <c r="E300" s="24" t="str">
        <f>"140502240765"</f>
        <v>140502240765</v>
      </c>
      <c r="F300" s="24" t="str">
        <f t="shared" si="13"/>
        <v>LIBROS DE CONSULTA</v>
      </c>
      <c r="G300" s="24" t="s">
        <v>14</v>
      </c>
      <c r="H300" s="24" t="s">
        <v>15</v>
      </c>
      <c r="I300" s="25">
        <v>1</v>
      </c>
      <c r="J300" s="26" t="s">
        <v>16</v>
      </c>
      <c r="K300" s="10">
        <v>30</v>
      </c>
    </row>
    <row r="301" spans="1:11" ht="36.75" x14ac:dyDescent="0.3">
      <c r="A301" s="22">
        <v>297</v>
      </c>
      <c r="B301" s="23" t="s">
        <v>22</v>
      </c>
      <c r="C301" s="24" t="str">
        <f t="shared" si="14"/>
        <v>140502</v>
      </c>
      <c r="D301" s="24" t="str">
        <f>"14.140502/2024.00766/BNC"</f>
        <v>14.140502/2024.00766/BNC</v>
      </c>
      <c r="E301" s="24" t="str">
        <f>"140502240766"</f>
        <v>140502240766</v>
      </c>
      <c r="F301" s="24" t="str">
        <f t="shared" ref="F301:F345" si="15">"LIBROS DE CONSULTA"</f>
        <v>LIBROS DE CONSULTA</v>
      </c>
      <c r="G301" s="24" t="s">
        <v>14</v>
      </c>
      <c r="H301" s="24" t="s">
        <v>15</v>
      </c>
      <c r="I301" s="25">
        <v>1</v>
      </c>
      <c r="J301" s="26" t="s">
        <v>16</v>
      </c>
      <c r="K301" s="10">
        <v>30</v>
      </c>
    </row>
    <row r="302" spans="1:11" ht="36.75" x14ac:dyDescent="0.3">
      <c r="A302" s="22">
        <v>298</v>
      </c>
      <c r="B302" s="23" t="s">
        <v>22</v>
      </c>
      <c r="C302" s="24" t="str">
        <f t="shared" si="14"/>
        <v>140502</v>
      </c>
      <c r="D302" s="24" t="str">
        <f>"14.140502/2024.00767/BNC"</f>
        <v>14.140502/2024.00767/BNC</v>
      </c>
      <c r="E302" s="24" t="str">
        <f>"140502240767"</f>
        <v>140502240767</v>
      </c>
      <c r="F302" s="24" t="str">
        <f t="shared" si="15"/>
        <v>LIBROS DE CONSULTA</v>
      </c>
      <c r="G302" s="24" t="s">
        <v>14</v>
      </c>
      <c r="H302" s="24" t="s">
        <v>15</v>
      </c>
      <c r="I302" s="25">
        <v>1</v>
      </c>
      <c r="J302" s="26" t="s">
        <v>16</v>
      </c>
      <c r="K302" s="10">
        <v>30</v>
      </c>
    </row>
    <row r="303" spans="1:11" ht="36.75" x14ac:dyDescent="0.3">
      <c r="A303" s="22">
        <v>299</v>
      </c>
      <c r="B303" s="23" t="s">
        <v>22</v>
      </c>
      <c r="C303" s="24" t="str">
        <f t="shared" si="14"/>
        <v>140502</v>
      </c>
      <c r="D303" s="24" t="str">
        <f>"14.140502/2024.00768/BNC"</f>
        <v>14.140502/2024.00768/BNC</v>
      </c>
      <c r="E303" s="24" t="str">
        <f>"140502240768"</f>
        <v>140502240768</v>
      </c>
      <c r="F303" s="24" t="str">
        <f t="shared" si="15"/>
        <v>LIBROS DE CONSULTA</v>
      </c>
      <c r="G303" s="24" t="s">
        <v>14</v>
      </c>
      <c r="H303" s="24" t="s">
        <v>15</v>
      </c>
      <c r="I303" s="25">
        <v>1</v>
      </c>
      <c r="J303" s="26" t="s">
        <v>16</v>
      </c>
      <c r="K303" s="10">
        <v>30</v>
      </c>
    </row>
    <row r="304" spans="1:11" ht="36.75" x14ac:dyDescent="0.3">
      <c r="A304" s="22">
        <v>300</v>
      </c>
      <c r="B304" s="23" t="s">
        <v>22</v>
      </c>
      <c r="C304" s="24" t="str">
        <f t="shared" si="14"/>
        <v>140502</v>
      </c>
      <c r="D304" s="24" t="str">
        <f>"14.140502/2024.00769/BNC"</f>
        <v>14.140502/2024.00769/BNC</v>
      </c>
      <c r="E304" s="24" t="str">
        <f>"140502240769"</f>
        <v>140502240769</v>
      </c>
      <c r="F304" s="24" t="str">
        <f t="shared" si="15"/>
        <v>LIBROS DE CONSULTA</v>
      </c>
      <c r="G304" s="24" t="s">
        <v>14</v>
      </c>
      <c r="H304" s="24" t="s">
        <v>15</v>
      </c>
      <c r="I304" s="25">
        <v>1</v>
      </c>
      <c r="J304" s="26" t="s">
        <v>16</v>
      </c>
      <c r="K304" s="10">
        <v>30</v>
      </c>
    </row>
    <row r="305" spans="1:11" ht="36.75" x14ac:dyDescent="0.3">
      <c r="A305" s="22">
        <v>301</v>
      </c>
      <c r="B305" s="23" t="s">
        <v>22</v>
      </c>
      <c r="C305" s="24" t="str">
        <f t="shared" si="14"/>
        <v>140502</v>
      </c>
      <c r="D305" s="24" t="str">
        <f>"14.140502/2024.00770/BNC"</f>
        <v>14.140502/2024.00770/BNC</v>
      </c>
      <c r="E305" s="24" t="str">
        <f>"140502240770"</f>
        <v>140502240770</v>
      </c>
      <c r="F305" s="24" t="str">
        <f t="shared" si="15"/>
        <v>LIBROS DE CONSULTA</v>
      </c>
      <c r="G305" s="24" t="s">
        <v>14</v>
      </c>
      <c r="H305" s="24" t="s">
        <v>15</v>
      </c>
      <c r="I305" s="25">
        <v>1</v>
      </c>
      <c r="J305" s="26" t="s">
        <v>16</v>
      </c>
      <c r="K305" s="10">
        <v>30</v>
      </c>
    </row>
    <row r="306" spans="1:11" ht="36.75" x14ac:dyDescent="0.3">
      <c r="A306" s="22">
        <v>302</v>
      </c>
      <c r="B306" s="23" t="s">
        <v>22</v>
      </c>
      <c r="C306" s="24" t="str">
        <f t="shared" si="14"/>
        <v>140502</v>
      </c>
      <c r="D306" s="24" t="str">
        <f>"14.140502/2024.00771/BNC"</f>
        <v>14.140502/2024.00771/BNC</v>
      </c>
      <c r="E306" s="24" t="str">
        <f>"140502240771"</f>
        <v>140502240771</v>
      </c>
      <c r="F306" s="24" t="str">
        <f t="shared" si="15"/>
        <v>LIBROS DE CONSULTA</v>
      </c>
      <c r="G306" s="24" t="s">
        <v>14</v>
      </c>
      <c r="H306" s="24" t="s">
        <v>15</v>
      </c>
      <c r="I306" s="25">
        <v>1</v>
      </c>
      <c r="J306" s="26" t="s">
        <v>16</v>
      </c>
      <c r="K306" s="10">
        <v>30</v>
      </c>
    </row>
    <row r="307" spans="1:11" ht="36.75" x14ac:dyDescent="0.3">
      <c r="A307" s="22">
        <v>303</v>
      </c>
      <c r="B307" s="23" t="s">
        <v>22</v>
      </c>
      <c r="C307" s="24" t="str">
        <f t="shared" si="14"/>
        <v>140502</v>
      </c>
      <c r="D307" s="24" t="str">
        <f>"14.140502/2024.00772/BNC"</f>
        <v>14.140502/2024.00772/BNC</v>
      </c>
      <c r="E307" s="24" t="str">
        <f>"140502240772"</f>
        <v>140502240772</v>
      </c>
      <c r="F307" s="24" t="str">
        <f t="shared" si="15"/>
        <v>LIBROS DE CONSULTA</v>
      </c>
      <c r="G307" s="24" t="s">
        <v>14</v>
      </c>
      <c r="H307" s="24" t="s">
        <v>15</v>
      </c>
      <c r="I307" s="25">
        <v>1</v>
      </c>
      <c r="J307" s="26" t="s">
        <v>16</v>
      </c>
      <c r="K307" s="10">
        <v>30</v>
      </c>
    </row>
    <row r="308" spans="1:11" ht="36.75" x14ac:dyDescent="0.3">
      <c r="A308" s="22">
        <v>304</v>
      </c>
      <c r="B308" s="23" t="s">
        <v>22</v>
      </c>
      <c r="C308" s="24" t="str">
        <f t="shared" si="14"/>
        <v>140502</v>
      </c>
      <c r="D308" s="24" t="str">
        <f>"14.140502/2024.00773/BNC"</f>
        <v>14.140502/2024.00773/BNC</v>
      </c>
      <c r="E308" s="24" t="str">
        <f>"140502240773"</f>
        <v>140502240773</v>
      </c>
      <c r="F308" s="24" t="str">
        <f t="shared" si="15"/>
        <v>LIBROS DE CONSULTA</v>
      </c>
      <c r="G308" s="24" t="s">
        <v>14</v>
      </c>
      <c r="H308" s="24" t="s">
        <v>15</v>
      </c>
      <c r="I308" s="25">
        <v>1</v>
      </c>
      <c r="J308" s="26" t="s">
        <v>16</v>
      </c>
      <c r="K308" s="10">
        <v>30</v>
      </c>
    </row>
    <row r="309" spans="1:11" ht="36.75" x14ac:dyDescent="0.3">
      <c r="A309" s="22">
        <v>305</v>
      </c>
      <c r="B309" s="23" t="s">
        <v>22</v>
      </c>
      <c r="C309" s="24" t="str">
        <f t="shared" si="14"/>
        <v>140502</v>
      </c>
      <c r="D309" s="24" t="str">
        <f>"14.140502/2024.00774/BNC"</f>
        <v>14.140502/2024.00774/BNC</v>
      </c>
      <c r="E309" s="24" t="str">
        <f>"140502240774"</f>
        <v>140502240774</v>
      </c>
      <c r="F309" s="24" t="str">
        <f t="shared" si="15"/>
        <v>LIBROS DE CONSULTA</v>
      </c>
      <c r="G309" s="24" t="s">
        <v>14</v>
      </c>
      <c r="H309" s="24" t="s">
        <v>15</v>
      </c>
      <c r="I309" s="25">
        <v>1</v>
      </c>
      <c r="J309" s="26" t="s">
        <v>16</v>
      </c>
      <c r="K309" s="10">
        <v>30</v>
      </c>
    </row>
    <row r="310" spans="1:11" ht="36.75" x14ac:dyDescent="0.3">
      <c r="A310" s="22">
        <v>306</v>
      </c>
      <c r="B310" s="23" t="s">
        <v>22</v>
      </c>
      <c r="C310" s="24" t="str">
        <f t="shared" si="14"/>
        <v>140502</v>
      </c>
      <c r="D310" s="24" t="str">
        <f>"14.140502/2024.00775/BNC"</f>
        <v>14.140502/2024.00775/BNC</v>
      </c>
      <c r="E310" s="24" t="str">
        <f>"140502240775"</f>
        <v>140502240775</v>
      </c>
      <c r="F310" s="24" t="str">
        <f t="shared" si="15"/>
        <v>LIBROS DE CONSULTA</v>
      </c>
      <c r="G310" s="24" t="s">
        <v>14</v>
      </c>
      <c r="H310" s="24" t="s">
        <v>15</v>
      </c>
      <c r="I310" s="25">
        <v>1</v>
      </c>
      <c r="J310" s="26" t="s">
        <v>16</v>
      </c>
      <c r="K310" s="10">
        <v>30</v>
      </c>
    </row>
    <row r="311" spans="1:11" ht="36.75" x14ac:dyDescent="0.3">
      <c r="A311" s="22">
        <v>307</v>
      </c>
      <c r="B311" s="23" t="s">
        <v>22</v>
      </c>
      <c r="C311" s="24" t="str">
        <f t="shared" si="14"/>
        <v>140502</v>
      </c>
      <c r="D311" s="24" t="str">
        <f>"14.140502/2024.00776/BNC"</f>
        <v>14.140502/2024.00776/BNC</v>
      </c>
      <c r="E311" s="24" t="str">
        <f>"140502240776"</f>
        <v>140502240776</v>
      </c>
      <c r="F311" s="24" t="str">
        <f t="shared" si="15"/>
        <v>LIBROS DE CONSULTA</v>
      </c>
      <c r="G311" s="24" t="s">
        <v>14</v>
      </c>
      <c r="H311" s="24" t="s">
        <v>15</v>
      </c>
      <c r="I311" s="25">
        <v>1</v>
      </c>
      <c r="J311" s="26" t="s">
        <v>16</v>
      </c>
      <c r="K311" s="10">
        <v>30</v>
      </c>
    </row>
    <row r="312" spans="1:11" ht="36.75" x14ac:dyDescent="0.3">
      <c r="A312" s="22">
        <v>308</v>
      </c>
      <c r="B312" s="23" t="s">
        <v>22</v>
      </c>
      <c r="C312" s="24" t="str">
        <f t="shared" si="14"/>
        <v>140502</v>
      </c>
      <c r="D312" s="24" t="str">
        <f>"14.140502/2024.00777/BNC"</f>
        <v>14.140502/2024.00777/BNC</v>
      </c>
      <c r="E312" s="24" t="str">
        <f>"140502240777"</f>
        <v>140502240777</v>
      </c>
      <c r="F312" s="24" t="str">
        <f t="shared" si="15"/>
        <v>LIBROS DE CONSULTA</v>
      </c>
      <c r="G312" s="24" t="s">
        <v>14</v>
      </c>
      <c r="H312" s="24" t="s">
        <v>15</v>
      </c>
      <c r="I312" s="25">
        <v>1</v>
      </c>
      <c r="J312" s="26" t="s">
        <v>16</v>
      </c>
      <c r="K312" s="10">
        <v>30</v>
      </c>
    </row>
    <row r="313" spans="1:11" ht="36.75" x14ac:dyDescent="0.3">
      <c r="A313" s="22">
        <v>309</v>
      </c>
      <c r="B313" s="23" t="s">
        <v>22</v>
      </c>
      <c r="C313" s="24" t="str">
        <f t="shared" si="14"/>
        <v>140502</v>
      </c>
      <c r="D313" s="24" t="str">
        <f>"14.140502/2024.00778/BNC"</f>
        <v>14.140502/2024.00778/BNC</v>
      </c>
      <c r="E313" s="24" t="str">
        <f>"140502240778"</f>
        <v>140502240778</v>
      </c>
      <c r="F313" s="24" t="str">
        <f t="shared" si="15"/>
        <v>LIBROS DE CONSULTA</v>
      </c>
      <c r="G313" s="24" t="s">
        <v>14</v>
      </c>
      <c r="H313" s="24" t="s">
        <v>15</v>
      </c>
      <c r="I313" s="25">
        <v>1</v>
      </c>
      <c r="J313" s="26" t="s">
        <v>16</v>
      </c>
      <c r="K313" s="10">
        <v>30</v>
      </c>
    </row>
    <row r="314" spans="1:11" ht="36.75" x14ac:dyDescent="0.3">
      <c r="A314" s="22">
        <v>310</v>
      </c>
      <c r="B314" s="23" t="s">
        <v>22</v>
      </c>
      <c r="C314" s="24" t="str">
        <f t="shared" si="14"/>
        <v>140502</v>
      </c>
      <c r="D314" s="24" t="str">
        <f>"14.140502/2024.00779/BNC"</f>
        <v>14.140502/2024.00779/BNC</v>
      </c>
      <c r="E314" s="24" t="str">
        <f>"140502240779"</f>
        <v>140502240779</v>
      </c>
      <c r="F314" s="24" t="str">
        <f t="shared" si="15"/>
        <v>LIBROS DE CONSULTA</v>
      </c>
      <c r="G314" s="24" t="s">
        <v>14</v>
      </c>
      <c r="H314" s="24" t="s">
        <v>15</v>
      </c>
      <c r="I314" s="25">
        <v>1</v>
      </c>
      <c r="J314" s="26" t="s">
        <v>16</v>
      </c>
      <c r="K314" s="10">
        <v>30</v>
      </c>
    </row>
    <row r="315" spans="1:11" ht="36.75" x14ac:dyDescent="0.3">
      <c r="A315" s="22">
        <v>311</v>
      </c>
      <c r="B315" s="23" t="s">
        <v>22</v>
      </c>
      <c r="C315" s="24" t="str">
        <f t="shared" si="14"/>
        <v>140502</v>
      </c>
      <c r="D315" s="24" t="str">
        <f>"14.140502/2024.00780/BNC"</f>
        <v>14.140502/2024.00780/BNC</v>
      </c>
      <c r="E315" s="24" t="str">
        <f>"140502240780"</f>
        <v>140502240780</v>
      </c>
      <c r="F315" s="24" t="str">
        <f t="shared" si="15"/>
        <v>LIBROS DE CONSULTA</v>
      </c>
      <c r="G315" s="24" t="s">
        <v>14</v>
      </c>
      <c r="H315" s="24" t="s">
        <v>15</v>
      </c>
      <c r="I315" s="25">
        <v>1</v>
      </c>
      <c r="J315" s="26" t="s">
        <v>16</v>
      </c>
      <c r="K315" s="10">
        <v>30</v>
      </c>
    </row>
    <row r="316" spans="1:11" ht="36.75" x14ac:dyDescent="0.3">
      <c r="A316" s="22">
        <v>312</v>
      </c>
      <c r="B316" s="23" t="s">
        <v>22</v>
      </c>
      <c r="C316" s="24" t="str">
        <f t="shared" si="14"/>
        <v>140502</v>
      </c>
      <c r="D316" s="24" t="str">
        <f>"14.140502/2024.00781/BNC"</f>
        <v>14.140502/2024.00781/BNC</v>
      </c>
      <c r="E316" s="24" t="str">
        <f>"140502240781"</f>
        <v>140502240781</v>
      </c>
      <c r="F316" s="24" t="str">
        <f t="shared" si="15"/>
        <v>LIBROS DE CONSULTA</v>
      </c>
      <c r="G316" s="24" t="s">
        <v>14</v>
      </c>
      <c r="H316" s="24" t="s">
        <v>15</v>
      </c>
      <c r="I316" s="25">
        <v>1</v>
      </c>
      <c r="J316" s="26" t="s">
        <v>16</v>
      </c>
      <c r="K316" s="10">
        <v>30</v>
      </c>
    </row>
    <row r="317" spans="1:11" ht="36.75" x14ac:dyDescent="0.3">
      <c r="A317" s="22">
        <v>313</v>
      </c>
      <c r="B317" s="23" t="s">
        <v>22</v>
      </c>
      <c r="C317" s="24" t="str">
        <f t="shared" si="14"/>
        <v>140502</v>
      </c>
      <c r="D317" s="24" t="str">
        <f>"14.140502/2024.00782/BNC"</f>
        <v>14.140502/2024.00782/BNC</v>
      </c>
      <c r="E317" s="24" t="str">
        <f>"140502240782"</f>
        <v>140502240782</v>
      </c>
      <c r="F317" s="24" t="str">
        <f t="shared" si="15"/>
        <v>LIBROS DE CONSULTA</v>
      </c>
      <c r="G317" s="24" t="s">
        <v>14</v>
      </c>
      <c r="H317" s="24" t="s">
        <v>15</v>
      </c>
      <c r="I317" s="25">
        <v>1</v>
      </c>
      <c r="J317" s="26" t="s">
        <v>16</v>
      </c>
      <c r="K317" s="10">
        <v>30</v>
      </c>
    </row>
    <row r="318" spans="1:11" ht="36.75" x14ac:dyDescent="0.3">
      <c r="A318" s="22">
        <v>314</v>
      </c>
      <c r="B318" s="23" t="s">
        <v>22</v>
      </c>
      <c r="C318" s="24" t="str">
        <f t="shared" si="14"/>
        <v>140502</v>
      </c>
      <c r="D318" s="24" t="str">
        <f>"14.140502/2024.00783/BNC"</f>
        <v>14.140502/2024.00783/BNC</v>
      </c>
      <c r="E318" s="24" t="str">
        <f>"140502240783"</f>
        <v>140502240783</v>
      </c>
      <c r="F318" s="24" t="str">
        <f t="shared" si="15"/>
        <v>LIBROS DE CONSULTA</v>
      </c>
      <c r="G318" s="24" t="s">
        <v>14</v>
      </c>
      <c r="H318" s="24" t="s">
        <v>15</v>
      </c>
      <c r="I318" s="25">
        <v>1</v>
      </c>
      <c r="J318" s="26" t="s">
        <v>16</v>
      </c>
      <c r="K318" s="10">
        <v>30</v>
      </c>
    </row>
    <row r="319" spans="1:11" ht="36.75" x14ac:dyDescent="0.3">
      <c r="A319" s="22">
        <v>315</v>
      </c>
      <c r="B319" s="23" t="s">
        <v>22</v>
      </c>
      <c r="C319" s="24" t="str">
        <f t="shared" si="14"/>
        <v>140502</v>
      </c>
      <c r="D319" s="24" t="str">
        <f>"14.140502/2024.00784/BNC"</f>
        <v>14.140502/2024.00784/BNC</v>
      </c>
      <c r="E319" s="24" t="str">
        <f>"140502240784"</f>
        <v>140502240784</v>
      </c>
      <c r="F319" s="24" t="str">
        <f t="shared" si="15"/>
        <v>LIBROS DE CONSULTA</v>
      </c>
      <c r="G319" s="24" t="s">
        <v>14</v>
      </c>
      <c r="H319" s="24" t="s">
        <v>15</v>
      </c>
      <c r="I319" s="25">
        <v>1</v>
      </c>
      <c r="J319" s="26" t="s">
        <v>16</v>
      </c>
      <c r="K319" s="10">
        <v>30</v>
      </c>
    </row>
    <row r="320" spans="1:11" ht="36.75" x14ac:dyDescent="0.3">
      <c r="A320" s="22">
        <v>316</v>
      </c>
      <c r="B320" s="23" t="s">
        <v>22</v>
      </c>
      <c r="C320" s="24" t="str">
        <f t="shared" si="14"/>
        <v>140502</v>
      </c>
      <c r="D320" s="24" t="str">
        <f>"14.140502/2024.00785/BNC"</f>
        <v>14.140502/2024.00785/BNC</v>
      </c>
      <c r="E320" s="24" t="str">
        <f>"140502240785"</f>
        <v>140502240785</v>
      </c>
      <c r="F320" s="24" t="str">
        <f t="shared" si="15"/>
        <v>LIBROS DE CONSULTA</v>
      </c>
      <c r="G320" s="24" t="s">
        <v>14</v>
      </c>
      <c r="H320" s="24" t="s">
        <v>15</v>
      </c>
      <c r="I320" s="25">
        <v>1</v>
      </c>
      <c r="J320" s="26" t="s">
        <v>16</v>
      </c>
      <c r="K320" s="10">
        <v>30</v>
      </c>
    </row>
    <row r="321" spans="1:11" ht="36.75" x14ac:dyDescent="0.3">
      <c r="A321" s="22">
        <v>317</v>
      </c>
      <c r="B321" s="23" t="s">
        <v>22</v>
      </c>
      <c r="C321" s="24" t="str">
        <f t="shared" si="14"/>
        <v>140502</v>
      </c>
      <c r="D321" s="24" t="str">
        <f>"14.140502/2024.00786/BNC"</f>
        <v>14.140502/2024.00786/BNC</v>
      </c>
      <c r="E321" s="24" t="str">
        <f>"140502240786"</f>
        <v>140502240786</v>
      </c>
      <c r="F321" s="24" t="str">
        <f t="shared" si="15"/>
        <v>LIBROS DE CONSULTA</v>
      </c>
      <c r="G321" s="24" t="s">
        <v>14</v>
      </c>
      <c r="H321" s="24" t="s">
        <v>15</v>
      </c>
      <c r="I321" s="25">
        <v>1</v>
      </c>
      <c r="J321" s="26" t="s">
        <v>16</v>
      </c>
      <c r="K321" s="10">
        <v>30</v>
      </c>
    </row>
    <row r="322" spans="1:11" ht="36.75" x14ac:dyDescent="0.3">
      <c r="A322" s="22">
        <v>318</v>
      </c>
      <c r="B322" s="23" t="s">
        <v>22</v>
      </c>
      <c r="C322" s="24" t="str">
        <f t="shared" si="14"/>
        <v>140502</v>
      </c>
      <c r="D322" s="24" t="str">
        <f>"14.140502/2024.00787/BNC"</f>
        <v>14.140502/2024.00787/BNC</v>
      </c>
      <c r="E322" s="24" t="str">
        <f>"140502240787"</f>
        <v>140502240787</v>
      </c>
      <c r="F322" s="24" t="str">
        <f t="shared" si="15"/>
        <v>LIBROS DE CONSULTA</v>
      </c>
      <c r="G322" s="24" t="s">
        <v>14</v>
      </c>
      <c r="H322" s="24" t="s">
        <v>15</v>
      </c>
      <c r="I322" s="25">
        <v>1</v>
      </c>
      <c r="J322" s="26" t="s">
        <v>16</v>
      </c>
      <c r="K322" s="10">
        <v>30</v>
      </c>
    </row>
    <row r="323" spans="1:11" ht="36.75" x14ac:dyDescent="0.3">
      <c r="A323" s="22">
        <v>319</v>
      </c>
      <c r="B323" s="23" t="s">
        <v>22</v>
      </c>
      <c r="C323" s="24" t="str">
        <f t="shared" si="14"/>
        <v>140502</v>
      </c>
      <c r="D323" s="24" t="str">
        <f>"14.140502/2024.00788/BNC"</f>
        <v>14.140502/2024.00788/BNC</v>
      </c>
      <c r="E323" s="24" t="str">
        <f>"140502240788"</f>
        <v>140502240788</v>
      </c>
      <c r="F323" s="24" t="str">
        <f t="shared" si="15"/>
        <v>LIBROS DE CONSULTA</v>
      </c>
      <c r="G323" s="24" t="s">
        <v>14</v>
      </c>
      <c r="H323" s="24" t="s">
        <v>15</v>
      </c>
      <c r="I323" s="25">
        <v>1</v>
      </c>
      <c r="J323" s="26" t="s">
        <v>16</v>
      </c>
      <c r="K323" s="10">
        <v>30</v>
      </c>
    </row>
    <row r="324" spans="1:11" ht="36.75" x14ac:dyDescent="0.3">
      <c r="A324" s="22">
        <v>320</v>
      </c>
      <c r="B324" s="23" t="s">
        <v>22</v>
      </c>
      <c r="C324" s="24" t="str">
        <f t="shared" si="14"/>
        <v>140502</v>
      </c>
      <c r="D324" s="24" t="str">
        <f>"14.140502/2024.00789/BNC"</f>
        <v>14.140502/2024.00789/BNC</v>
      </c>
      <c r="E324" s="24" t="str">
        <f>"140502240789"</f>
        <v>140502240789</v>
      </c>
      <c r="F324" s="24" t="str">
        <f t="shared" si="15"/>
        <v>LIBROS DE CONSULTA</v>
      </c>
      <c r="G324" s="24" t="s">
        <v>14</v>
      </c>
      <c r="H324" s="24" t="s">
        <v>15</v>
      </c>
      <c r="I324" s="25">
        <v>1</v>
      </c>
      <c r="J324" s="26" t="s">
        <v>16</v>
      </c>
      <c r="K324" s="10">
        <v>30</v>
      </c>
    </row>
    <row r="325" spans="1:11" ht="36.75" x14ac:dyDescent="0.3">
      <c r="A325" s="22">
        <v>321</v>
      </c>
      <c r="B325" s="23" t="s">
        <v>22</v>
      </c>
      <c r="C325" s="24" t="str">
        <f t="shared" si="14"/>
        <v>140502</v>
      </c>
      <c r="D325" s="24" t="str">
        <f>"14.140502/2024.00790/BNC"</f>
        <v>14.140502/2024.00790/BNC</v>
      </c>
      <c r="E325" s="24" t="str">
        <f>"140502240790"</f>
        <v>140502240790</v>
      </c>
      <c r="F325" s="24" t="str">
        <f t="shared" si="15"/>
        <v>LIBROS DE CONSULTA</v>
      </c>
      <c r="G325" s="24" t="s">
        <v>14</v>
      </c>
      <c r="H325" s="24" t="s">
        <v>15</v>
      </c>
      <c r="I325" s="25">
        <v>1</v>
      </c>
      <c r="J325" s="26" t="s">
        <v>16</v>
      </c>
      <c r="K325" s="10">
        <v>30</v>
      </c>
    </row>
    <row r="326" spans="1:11" ht="36.75" x14ac:dyDescent="0.3">
      <c r="A326" s="22">
        <v>322</v>
      </c>
      <c r="B326" s="23" t="s">
        <v>22</v>
      </c>
      <c r="C326" s="24" t="str">
        <f t="shared" si="14"/>
        <v>140502</v>
      </c>
      <c r="D326" s="24" t="str">
        <f>"14.140502/2024.00791/BNC"</f>
        <v>14.140502/2024.00791/BNC</v>
      </c>
      <c r="E326" s="24" t="str">
        <f>"140502240791"</f>
        <v>140502240791</v>
      </c>
      <c r="F326" s="24" t="str">
        <f t="shared" si="15"/>
        <v>LIBROS DE CONSULTA</v>
      </c>
      <c r="G326" s="24" t="s">
        <v>14</v>
      </c>
      <c r="H326" s="24" t="s">
        <v>15</v>
      </c>
      <c r="I326" s="25">
        <v>1</v>
      </c>
      <c r="J326" s="26" t="s">
        <v>16</v>
      </c>
      <c r="K326" s="10">
        <v>30</v>
      </c>
    </row>
    <row r="327" spans="1:11" ht="36.75" x14ac:dyDescent="0.3">
      <c r="A327" s="22">
        <v>323</v>
      </c>
      <c r="B327" s="23" t="s">
        <v>22</v>
      </c>
      <c r="C327" s="24" t="str">
        <f t="shared" si="14"/>
        <v>140502</v>
      </c>
      <c r="D327" s="24" t="str">
        <f>"14.140502/2024.00792/BNC"</f>
        <v>14.140502/2024.00792/BNC</v>
      </c>
      <c r="E327" s="24" t="str">
        <f>"140502240792"</f>
        <v>140502240792</v>
      </c>
      <c r="F327" s="24" t="str">
        <f t="shared" si="15"/>
        <v>LIBROS DE CONSULTA</v>
      </c>
      <c r="G327" s="24" t="s">
        <v>14</v>
      </c>
      <c r="H327" s="24" t="s">
        <v>15</v>
      </c>
      <c r="I327" s="25">
        <v>1</v>
      </c>
      <c r="J327" s="26" t="s">
        <v>16</v>
      </c>
      <c r="K327" s="10">
        <v>30</v>
      </c>
    </row>
    <row r="328" spans="1:11" ht="36.75" x14ac:dyDescent="0.3">
      <c r="A328" s="22">
        <v>324</v>
      </c>
      <c r="B328" s="23" t="s">
        <v>22</v>
      </c>
      <c r="C328" s="24" t="str">
        <f t="shared" si="14"/>
        <v>140502</v>
      </c>
      <c r="D328" s="24" t="str">
        <f>"14.140502/2024.00793/BNC"</f>
        <v>14.140502/2024.00793/BNC</v>
      </c>
      <c r="E328" s="24" t="str">
        <f>"140502240793"</f>
        <v>140502240793</v>
      </c>
      <c r="F328" s="24" t="str">
        <f t="shared" si="15"/>
        <v>LIBROS DE CONSULTA</v>
      </c>
      <c r="G328" s="24" t="s">
        <v>14</v>
      </c>
      <c r="H328" s="24" t="s">
        <v>15</v>
      </c>
      <c r="I328" s="25">
        <v>1</v>
      </c>
      <c r="J328" s="26" t="s">
        <v>16</v>
      </c>
      <c r="K328" s="10">
        <v>30</v>
      </c>
    </row>
    <row r="329" spans="1:11" ht="36.75" x14ac:dyDescent="0.3">
      <c r="A329" s="22">
        <v>325</v>
      </c>
      <c r="B329" s="23" t="s">
        <v>22</v>
      </c>
      <c r="C329" s="24" t="str">
        <f t="shared" si="14"/>
        <v>140502</v>
      </c>
      <c r="D329" s="24" t="str">
        <f>"14.140502/2024.00794/BNC"</f>
        <v>14.140502/2024.00794/BNC</v>
      </c>
      <c r="E329" s="24" t="str">
        <f>"140502240794"</f>
        <v>140502240794</v>
      </c>
      <c r="F329" s="24" t="str">
        <f t="shared" si="15"/>
        <v>LIBROS DE CONSULTA</v>
      </c>
      <c r="G329" s="24" t="s">
        <v>14</v>
      </c>
      <c r="H329" s="24" t="s">
        <v>15</v>
      </c>
      <c r="I329" s="25">
        <v>1</v>
      </c>
      <c r="J329" s="26" t="s">
        <v>16</v>
      </c>
      <c r="K329" s="10">
        <v>30</v>
      </c>
    </row>
    <row r="330" spans="1:11" ht="36.75" x14ac:dyDescent="0.3">
      <c r="A330" s="22">
        <v>326</v>
      </c>
      <c r="B330" s="23" t="s">
        <v>22</v>
      </c>
      <c r="C330" s="24" t="str">
        <f t="shared" ref="C330:C393" si="16">"140502"</f>
        <v>140502</v>
      </c>
      <c r="D330" s="24" t="str">
        <f>"14.140502/2024.00795/BNC"</f>
        <v>14.140502/2024.00795/BNC</v>
      </c>
      <c r="E330" s="24" t="str">
        <f>"140502240795"</f>
        <v>140502240795</v>
      </c>
      <c r="F330" s="24" t="str">
        <f t="shared" si="15"/>
        <v>LIBROS DE CONSULTA</v>
      </c>
      <c r="G330" s="24" t="s">
        <v>14</v>
      </c>
      <c r="H330" s="24" t="s">
        <v>15</v>
      </c>
      <c r="I330" s="25">
        <v>1</v>
      </c>
      <c r="J330" s="26" t="s">
        <v>16</v>
      </c>
      <c r="K330" s="10">
        <v>30</v>
      </c>
    </row>
    <row r="331" spans="1:11" ht="36.75" x14ac:dyDescent="0.3">
      <c r="A331" s="22">
        <v>327</v>
      </c>
      <c r="B331" s="23" t="s">
        <v>22</v>
      </c>
      <c r="C331" s="24" t="str">
        <f t="shared" si="16"/>
        <v>140502</v>
      </c>
      <c r="D331" s="24" t="str">
        <f>"14.140502/2024.00796/BNC"</f>
        <v>14.140502/2024.00796/BNC</v>
      </c>
      <c r="E331" s="24" t="str">
        <f>"140502240796"</f>
        <v>140502240796</v>
      </c>
      <c r="F331" s="24" t="str">
        <f t="shared" si="15"/>
        <v>LIBROS DE CONSULTA</v>
      </c>
      <c r="G331" s="24" t="s">
        <v>14</v>
      </c>
      <c r="H331" s="24" t="s">
        <v>15</v>
      </c>
      <c r="I331" s="25">
        <v>1</v>
      </c>
      <c r="J331" s="26" t="s">
        <v>16</v>
      </c>
      <c r="K331" s="10">
        <v>30</v>
      </c>
    </row>
    <row r="332" spans="1:11" ht="36.75" x14ac:dyDescent="0.3">
      <c r="A332" s="22">
        <v>328</v>
      </c>
      <c r="B332" s="23" t="s">
        <v>22</v>
      </c>
      <c r="C332" s="24" t="str">
        <f t="shared" si="16"/>
        <v>140502</v>
      </c>
      <c r="D332" s="24" t="str">
        <f>"14.140502/2024.00797/BNC"</f>
        <v>14.140502/2024.00797/BNC</v>
      </c>
      <c r="E332" s="24" t="str">
        <f>"140502240797"</f>
        <v>140502240797</v>
      </c>
      <c r="F332" s="24" t="str">
        <f t="shared" si="15"/>
        <v>LIBROS DE CONSULTA</v>
      </c>
      <c r="G332" s="24" t="s">
        <v>14</v>
      </c>
      <c r="H332" s="24" t="s">
        <v>15</v>
      </c>
      <c r="I332" s="25">
        <v>1</v>
      </c>
      <c r="J332" s="26" t="s">
        <v>16</v>
      </c>
      <c r="K332" s="10">
        <v>30</v>
      </c>
    </row>
    <row r="333" spans="1:11" ht="36.75" x14ac:dyDescent="0.3">
      <c r="A333" s="22">
        <v>329</v>
      </c>
      <c r="B333" s="23" t="s">
        <v>22</v>
      </c>
      <c r="C333" s="24" t="str">
        <f t="shared" si="16"/>
        <v>140502</v>
      </c>
      <c r="D333" s="24" t="str">
        <f>"14.140502/2024.00798/BNC"</f>
        <v>14.140502/2024.00798/BNC</v>
      </c>
      <c r="E333" s="24" t="str">
        <f>"140502240798"</f>
        <v>140502240798</v>
      </c>
      <c r="F333" s="24" t="str">
        <f t="shared" si="15"/>
        <v>LIBROS DE CONSULTA</v>
      </c>
      <c r="G333" s="24" t="s">
        <v>14</v>
      </c>
      <c r="H333" s="24" t="s">
        <v>15</v>
      </c>
      <c r="I333" s="25">
        <v>1</v>
      </c>
      <c r="J333" s="26" t="s">
        <v>16</v>
      </c>
      <c r="K333" s="10">
        <v>30</v>
      </c>
    </row>
    <row r="334" spans="1:11" ht="36.75" x14ac:dyDescent="0.3">
      <c r="A334" s="22">
        <v>330</v>
      </c>
      <c r="B334" s="23" t="s">
        <v>22</v>
      </c>
      <c r="C334" s="24" t="str">
        <f t="shared" si="16"/>
        <v>140502</v>
      </c>
      <c r="D334" s="24" t="str">
        <f>"14.140502/2024.00799/BNC"</f>
        <v>14.140502/2024.00799/BNC</v>
      </c>
      <c r="E334" s="24" t="str">
        <f>"140502240799"</f>
        <v>140502240799</v>
      </c>
      <c r="F334" s="24" t="str">
        <f t="shared" si="15"/>
        <v>LIBROS DE CONSULTA</v>
      </c>
      <c r="G334" s="24" t="s">
        <v>14</v>
      </c>
      <c r="H334" s="24" t="s">
        <v>15</v>
      </c>
      <c r="I334" s="25">
        <v>1</v>
      </c>
      <c r="J334" s="26" t="s">
        <v>16</v>
      </c>
      <c r="K334" s="10">
        <v>30</v>
      </c>
    </row>
    <row r="335" spans="1:11" ht="36.75" x14ac:dyDescent="0.3">
      <c r="A335" s="22">
        <v>331</v>
      </c>
      <c r="B335" s="23" t="s">
        <v>22</v>
      </c>
      <c r="C335" s="24" t="str">
        <f t="shared" si="16"/>
        <v>140502</v>
      </c>
      <c r="D335" s="24" t="str">
        <f>"14.140502/2024.00800/BNC"</f>
        <v>14.140502/2024.00800/BNC</v>
      </c>
      <c r="E335" s="24" t="str">
        <f>"140502240800"</f>
        <v>140502240800</v>
      </c>
      <c r="F335" s="24" t="str">
        <f t="shared" si="15"/>
        <v>LIBROS DE CONSULTA</v>
      </c>
      <c r="G335" s="24" t="s">
        <v>14</v>
      </c>
      <c r="H335" s="24" t="s">
        <v>15</v>
      </c>
      <c r="I335" s="25">
        <v>1</v>
      </c>
      <c r="J335" s="26" t="s">
        <v>16</v>
      </c>
      <c r="K335" s="10">
        <v>30</v>
      </c>
    </row>
    <row r="336" spans="1:11" ht="36.75" x14ac:dyDescent="0.3">
      <c r="A336" s="22">
        <v>332</v>
      </c>
      <c r="B336" s="23" t="s">
        <v>22</v>
      </c>
      <c r="C336" s="24" t="str">
        <f t="shared" si="16"/>
        <v>140502</v>
      </c>
      <c r="D336" s="24" t="str">
        <f>"14.140502/2024.00801/BNC"</f>
        <v>14.140502/2024.00801/BNC</v>
      </c>
      <c r="E336" s="24" t="str">
        <f>"140502240801"</f>
        <v>140502240801</v>
      </c>
      <c r="F336" s="24" t="str">
        <f t="shared" si="15"/>
        <v>LIBROS DE CONSULTA</v>
      </c>
      <c r="G336" s="24" t="s">
        <v>14</v>
      </c>
      <c r="H336" s="24" t="s">
        <v>15</v>
      </c>
      <c r="I336" s="25">
        <v>1</v>
      </c>
      <c r="J336" s="26" t="s">
        <v>16</v>
      </c>
      <c r="K336" s="10">
        <v>30</v>
      </c>
    </row>
    <row r="337" spans="1:11" ht="36.75" x14ac:dyDescent="0.3">
      <c r="A337" s="22">
        <v>333</v>
      </c>
      <c r="B337" s="23" t="s">
        <v>22</v>
      </c>
      <c r="C337" s="24" t="str">
        <f t="shared" si="16"/>
        <v>140502</v>
      </c>
      <c r="D337" s="24" t="str">
        <f>"14.140502/2024.00802/BNC"</f>
        <v>14.140502/2024.00802/BNC</v>
      </c>
      <c r="E337" s="24" t="str">
        <f>"140502240802"</f>
        <v>140502240802</v>
      </c>
      <c r="F337" s="24" t="str">
        <f t="shared" si="15"/>
        <v>LIBROS DE CONSULTA</v>
      </c>
      <c r="G337" s="24" t="s">
        <v>14</v>
      </c>
      <c r="H337" s="24" t="s">
        <v>15</v>
      </c>
      <c r="I337" s="25">
        <v>1</v>
      </c>
      <c r="J337" s="26" t="s">
        <v>16</v>
      </c>
      <c r="K337" s="10">
        <v>30</v>
      </c>
    </row>
    <row r="338" spans="1:11" ht="36.75" x14ac:dyDescent="0.3">
      <c r="A338" s="22">
        <v>334</v>
      </c>
      <c r="B338" s="23" t="s">
        <v>22</v>
      </c>
      <c r="C338" s="24" t="str">
        <f t="shared" si="16"/>
        <v>140502</v>
      </c>
      <c r="D338" s="24" t="str">
        <f>"14.140502/2024.00803/BNC"</f>
        <v>14.140502/2024.00803/BNC</v>
      </c>
      <c r="E338" s="24" t="str">
        <f>"140502240803"</f>
        <v>140502240803</v>
      </c>
      <c r="F338" s="24" t="str">
        <f t="shared" si="15"/>
        <v>LIBROS DE CONSULTA</v>
      </c>
      <c r="G338" s="24" t="s">
        <v>14</v>
      </c>
      <c r="H338" s="24" t="s">
        <v>15</v>
      </c>
      <c r="I338" s="25">
        <v>1</v>
      </c>
      <c r="J338" s="26" t="s">
        <v>16</v>
      </c>
      <c r="K338" s="10">
        <v>30</v>
      </c>
    </row>
    <row r="339" spans="1:11" ht="36.75" x14ac:dyDescent="0.3">
      <c r="A339" s="22">
        <v>335</v>
      </c>
      <c r="B339" s="23" t="s">
        <v>22</v>
      </c>
      <c r="C339" s="24" t="str">
        <f t="shared" si="16"/>
        <v>140502</v>
      </c>
      <c r="D339" s="24" t="str">
        <f>"14.140502/2024.00804/BNC"</f>
        <v>14.140502/2024.00804/BNC</v>
      </c>
      <c r="E339" s="24" t="str">
        <f>"140502240804"</f>
        <v>140502240804</v>
      </c>
      <c r="F339" s="24" t="str">
        <f t="shared" si="15"/>
        <v>LIBROS DE CONSULTA</v>
      </c>
      <c r="G339" s="24" t="s">
        <v>14</v>
      </c>
      <c r="H339" s="24" t="s">
        <v>15</v>
      </c>
      <c r="I339" s="25">
        <v>1</v>
      </c>
      <c r="J339" s="26" t="s">
        <v>16</v>
      </c>
      <c r="K339" s="10">
        <v>30</v>
      </c>
    </row>
    <row r="340" spans="1:11" ht="36.75" x14ac:dyDescent="0.3">
      <c r="A340" s="22">
        <v>336</v>
      </c>
      <c r="B340" s="23" t="s">
        <v>22</v>
      </c>
      <c r="C340" s="24" t="str">
        <f t="shared" si="16"/>
        <v>140502</v>
      </c>
      <c r="D340" s="24" t="str">
        <f>"14.140502/2024.00805/BNC"</f>
        <v>14.140502/2024.00805/BNC</v>
      </c>
      <c r="E340" s="24" t="str">
        <f>"140502240805"</f>
        <v>140502240805</v>
      </c>
      <c r="F340" s="24" t="str">
        <f t="shared" si="15"/>
        <v>LIBROS DE CONSULTA</v>
      </c>
      <c r="G340" s="24" t="s">
        <v>14</v>
      </c>
      <c r="H340" s="24" t="s">
        <v>15</v>
      </c>
      <c r="I340" s="25">
        <v>1</v>
      </c>
      <c r="J340" s="26" t="s">
        <v>16</v>
      </c>
      <c r="K340" s="10">
        <v>30</v>
      </c>
    </row>
    <row r="341" spans="1:11" ht="36.75" x14ac:dyDescent="0.3">
      <c r="A341" s="22">
        <v>337</v>
      </c>
      <c r="B341" s="23" t="s">
        <v>22</v>
      </c>
      <c r="C341" s="24" t="str">
        <f t="shared" si="16"/>
        <v>140502</v>
      </c>
      <c r="D341" s="24" t="str">
        <f>"14.140502/2024.00806/BNC"</f>
        <v>14.140502/2024.00806/BNC</v>
      </c>
      <c r="E341" s="24" t="str">
        <f>"140502240806"</f>
        <v>140502240806</v>
      </c>
      <c r="F341" s="24" t="str">
        <f t="shared" si="15"/>
        <v>LIBROS DE CONSULTA</v>
      </c>
      <c r="G341" s="24" t="s">
        <v>14</v>
      </c>
      <c r="H341" s="24" t="s">
        <v>15</v>
      </c>
      <c r="I341" s="25">
        <v>1</v>
      </c>
      <c r="J341" s="26" t="s">
        <v>16</v>
      </c>
      <c r="K341" s="10">
        <v>30</v>
      </c>
    </row>
    <row r="342" spans="1:11" ht="36.75" x14ac:dyDescent="0.3">
      <c r="A342" s="22">
        <v>338</v>
      </c>
      <c r="B342" s="23" t="s">
        <v>22</v>
      </c>
      <c r="C342" s="24" t="str">
        <f t="shared" si="16"/>
        <v>140502</v>
      </c>
      <c r="D342" s="24" t="str">
        <f>"14.140502/2024.00807/BNC"</f>
        <v>14.140502/2024.00807/BNC</v>
      </c>
      <c r="E342" s="24" t="str">
        <f>"140502240807"</f>
        <v>140502240807</v>
      </c>
      <c r="F342" s="24" t="str">
        <f t="shared" si="15"/>
        <v>LIBROS DE CONSULTA</v>
      </c>
      <c r="G342" s="24" t="s">
        <v>14</v>
      </c>
      <c r="H342" s="24" t="s">
        <v>15</v>
      </c>
      <c r="I342" s="25">
        <v>1</v>
      </c>
      <c r="J342" s="26" t="s">
        <v>16</v>
      </c>
      <c r="K342" s="10">
        <v>30</v>
      </c>
    </row>
    <row r="343" spans="1:11" ht="36.75" x14ac:dyDescent="0.3">
      <c r="A343" s="22">
        <v>339</v>
      </c>
      <c r="B343" s="23" t="s">
        <v>22</v>
      </c>
      <c r="C343" s="24" t="str">
        <f t="shared" si="16"/>
        <v>140502</v>
      </c>
      <c r="D343" s="24" t="str">
        <f>"14.140502/2024.00808/BNC"</f>
        <v>14.140502/2024.00808/BNC</v>
      </c>
      <c r="E343" s="24" t="str">
        <f>"140502240808"</f>
        <v>140502240808</v>
      </c>
      <c r="F343" s="24" t="str">
        <f t="shared" si="15"/>
        <v>LIBROS DE CONSULTA</v>
      </c>
      <c r="G343" s="24" t="s">
        <v>14</v>
      </c>
      <c r="H343" s="24" t="s">
        <v>15</v>
      </c>
      <c r="I343" s="25">
        <v>1</v>
      </c>
      <c r="J343" s="26" t="s">
        <v>16</v>
      </c>
      <c r="K343" s="10">
        <v>30</v>
      </c>
    </row>
    <row r="344" spans="1:11" ht="36.75" x14ac:dyDescent="0.3">
      <c r="A344" s="22">
        <v>340</v>
      </c>
      <c r="B344" s="23" t="s">
        <v>22</v>
      </c>
      <c r="C344" s="24" t="str">
        <f t="shared" si="16"/>
        <v>140502</v>
      </c>
      <c r="D344" s="24" t="str">
        <f>"14.140502/2024.00809/BNC"</f>
        <v>14.140502/2024.00809/BNC</v>
      </c>
      <c r="E344" s="24" t="str">
        <f>"140502240809"</f>
        <v>140502240809</v>
      </c>
      <c r="F344" s="24" t="str">
        <f t="shared" si="15"/>
        <v>LIBROS DE CONSULTA</v>
      </c>
      <c r="G344" s="24" t="s">
        <v>14</v>
      </c>
      <c r="H344" s="24" t="s">
        <v>15</v>
      </c>
      <c r="I344" s="25">
        <v>1</v>
      </c>
      <c r="J344" s="26" t="s">
        <v>16</v>
      </c>
      <c r="K344" s="10">
        <v>30</v>
      </c>
    </row>
    <row r="345" spans="1:11" ht="36.75" x14ac:dyDescent="0.3">
      <c r="A345" s="22">
        <v>341</v>
      </c>
      <c r="B345" s="23" t="s">
        <v>22</v>
      </c>
      <c r="C345" s="24" t="str">
        <f t="shared" si="16"/>
        <v>140502</v>
      </c>
      <c r="D345" s="24" t="str">
        <f>"14.140502/2024.00810/BNC"</f>
        <v>14.140502/2024.00810/BNC</v>
      </c>
      <c r="E345" s="24" t="str">
        <f>"140502240810"</f>
        <v>140502240810</v>
      </c>
      <c r="F345" s="24" t="str">
        <f t="shared" si="15"/>
        <v>LIBROS DE CONSULTA</v>
      </c>
      <c r="G345" s="24" t="s">
        <v>14</v>
      </c>
      <c r="H345" s="24" t="s">
        <v>15</v>
      </c>
      <c r="I345" s="25">
        <v>1</v>
      </c>
      <c r="J345" s="26" t="s">
        <v>16</v>
      </c>
      <c r="K345" s="10">
        <v>30</v>
      </c>
    </row>
    <row r="346" spans="1:11" ht="36.75" x14ac:dyDescent="0.3">
      <c r="A346" s="22">
        <v>342</v>
      </c>
      <c r="B346" s="23" t="s">
        <v>22</v>
      </c>
      <c r="C346" s="24" t="str">
        <f t="shared" si="16"/>
        <v>140502</v>
      </c>
      <c r="D346" s="24" t="str">
        <f>"14.140502/2024.00503/BNC"</f>
        <v>14.140502/2024.00503/BNC</v>
      </c>
      <c r="E346" s="24" t="str">
        <f>"140502240503"</f>
        <v>140502240503</v>
      </c>
      <c r="F346" s="24" t="str">
        <f t="shared" ref="F346:F409" si="17">"SILLA FIJA"</f>
        <v>SILLA FIJA</v>
      </c>
      <c r="G346" s="24" t="s">
        <v>14</v>
      </c>
      <c r="H346" s="24" t="s">
        <v>15</v>
      </c>
      <c r="I346" s="25">
        <v>1</v>
      </c>
      <c r="J346" s="26" t="s">
        <v>16</v>
      </c>
      <c r="K346" s="10">
        <v>25</v>
      </c>
    </row>
    <row r="347" spans="1:11" ht="36.75" x14ac:dyDescent="0.3">
      <c r="A347" s="22">
        <v>343</v>
      </c>
      <c r="B347" s="23" t="s">
        <v>22</v>
      </c>
      <c r="C347" s="24" t="str">
        <f t="shared" si="16"/>
        <v>140502</v>
      </c>
      <c r="D347" s="24" t="str">
        <f>"14.140502/2024.00504/BNC"</f>
        <v>14.140502/2024.00504/BNC</v>
      </c>
      <c r="E347" s="24" t="str">
        <f>"140502240504"</f>
        <v>140502240504</v>
      </c>
      <c r="F347" s="24" t="str">
        <f t="shared" si="17"/>
        <v>SILLA FIJA</v>
      </c>
      <c r="G347" s="24" t="s">
        <v>14</v>
      </c>
      <c r="H347" s="24" t="s">
        <v>15</v>
      </c>
      <c r="I347" s="25">
        <v>1</v>
      </c>
      <c r="J347" s="26" t="s">
        <v>16</v>
      </c>
      <c r="K347" s="10">
        <v>25</v>
      </c>
    </row>
    <row r="348" spans="1:11" ht="36.75" x14ac:dyDescent="0.3">
      <c r="A348" s="22">
        <v>344</v>
      </c>
      <c r="B348" s="23" t="s">
        <v>22</v>
      </c>
      <c r="C348" s="24" t="str">
        <f t="shared" si="16"/>
        <v>140502</v>
      </c>
      <c r="D348" s="24" t="str">
        <f>"14.140502/2024.00505/BNC"</f>
        <v>14.140502/2024.00505/BNC</v>
      </c>
      <c r="E348" s="24" t="str">
        <f>"140502240505"</f>
        <v>140502240505</v>
      </c>
      <c r="F348" s="24" t="str">
        <f t="shared" si="17"/>
        <v>SILLA FIJA</v>
      </c>
      <c r="G348" s="24" t="s">
        <v>14</v>
      </c>
      <c r="H348" s="24" t="s">
        <v>15</v>
      </c>
      <c r="I348" s="25">
        <v>1</v>
      </c>
      <c r="J348" s="26" t="s">
        <v>16</v>
      </c>
      <c r="K348" s="10">
        <v>25</v>
      </c>
    </row>
    <row r="349" spans="1:11" ht="36.75" x14ac:dyDescent="0.3">
      <c r="A349" s="22">
        <v>345</v>
      </c>
      <c r="B349" s="23" t="s">
        <v>22</v>
      </c>
      <c r="C349" s="24" t="str">
        <f t="shared" si="16"/>
        <v>140502</v>
      </c>
      <c r="D349" s="24" t="str">
        <f>"14.140502/2024.00506/BNC"</f>
        <v>14.140502/2024.00506/BNC</v>
      </c>
      <c r="E349" s="24" t="str">
        <f>"140502240506"</f>
        <v>140502240506</v>
      </c>
      <c r="F349" s="24" t="str">
        <f t="shared" si="17"/>
        <v>SILLA FIJA</v>
      </c>
      <c r="G349" s="24" t="s">
        <v>14</v>
      </c>
      <c r="H349" s="24" t="s">
        <v>15</v>
      </c>
      <c r="I349" s="25">
        <v>1</v>
      </c>
      <c r="J349" s="26" t="s">
        <v>16</v>
      </c>
      <c r="K349" s="10">
        <v>25</v>
      </c>
    </row>
    <row r="350" spans="1:11" ht="36.75" x14ac:dyDescent="0.3">
      <c r="A350" s="22">
        <v>346</v>
      </c>
      <c r="B350" s="23" t="s">
        <v>22</v>
      </c>
      <c r="C350" s="24" t="str">
        <f t="shared" si="16"/>
        <v>140502</v>
      </c>
      <c r="D350" s="24" t="str">
        <f>"14.140502/2024.00507/BNC"</f>
        <v>14.140502/2024.00507/BNC</v>
      </c>
      <c r="E350" s="24" t="str">
        <f>"140502240507"</f>
        <v>140502240507</v>
      </c>
      <c r="F350" s="24" t="str">
        <f t="shared" si="17"/>
        <v>SILLA FIJA</v>
      </c>
      <c r="G350" s="24" t="s">
        <v>14</v>
      </c>
      <c r="H350" s="24" t="s">
        <v>15</v>
      </c>
      <c r="I350" s="25">
        <v>1</v>
      </c>
      <c r="J350" s="26" t="s">
        <v>16</v>
      </c>
      <c r="K350" s="10">
        <v>25</v>
      </c>
    </row>
    <row r="351" spans="1:11" ht="36.75" x14ac:dyDescent="0.3">
      <c r="A351" s="22">
        <v>347</v>
      </c>
      <c r="B351" s="23" t="s">
        <v>22</v>
      </c>
      <c r="C351" s="24" t="str">
        <f t="shared" si="16"/>
        <v>140502</v>
      </c>
      <c r="D351" s="24" t="str">
        <f>"14.140502/2024.00508/BNC"</f>
        <v>14.140502/2024.00508/BNC</v>
      </c>
      <c r="E351" s="24" t="str">
        <f>"140502240508"</f>
        <v>140502240508</v>
      </c>
      <c r="F351" s="24" t="str">
        <f t="shared" si="17"/>
        <v>SILLA FIJA</v>
      </c>
      <c r="G351" s="24" t="s">
        <v>14</v>
      </c>
      <c r="H351" s="24" t="s">
        <v>15</v>
      </c>
      <c r="I351" s="25">
        <v>1</v>
      </c>
      <c r="J351" s="26" t="s">
        <v>16</v>
      </c>
      <c r="K351" s="10">
        <v>25</v>
      </c>
    </row>
    <row r="352" spans="1:11" ht="36.75" x14ac:dyDescent="0.3">
      <c r="A352" s="22">
        <v>348</v>
      </c>
      <c r="B352" s="23" t="s">
        <v>22</v>
      </c>
      <c r="C352" s="24" t="str">
        <f t="shared" si="16"/>
        <v>140502</v>
      </c>
      <c r="D352" s="24" t="str">
        <f>"14.140502/2024.00509/BNC"</f>
        <v>14.140502/2024.00509/BNC</v>
      </c>
      <c r="E352" s="24" t="str">
        <f>"140502240509"</f>
        <v>140502240509</v>
      </c>
      <c r="F352" s="24" t="str">
        <f t="shared" si="17"/>
        <v>SILLA FIJA</v>
      </c>
      <c r="G352" s="24" t="s">
        <v>14</v>
      </c>
      <c r="H352" s="24" t="s">
        <v>15</v>
      </c>
      <c r="I352" s="25">
        <v>1</v>
      </c>
      <c r="J352" s="26" t="s">
        <v>16</v>
      </c>
      <c r="K352" s="10">
        <v>25</v>
      </c>
    </row>
    <row r="353" spans="1:11" ht="36.75" x14ac:dyDescent="0.3">
      <c r="A353" s="22">
        <v>349</v>
      </c>
      <c r="B353" s="23" t="s">
        <v>22</v>
      </c>
      <c r="C353" s="24" t="str">
        <f t="shared" si="16"/>
        <v>140502</v>
      </c>
      <c r="D353" s="24" t="str">
        <f>"14.140502/2024.00510/BNC"</f>
        <v>14.140502/2024.00510/BNC</v>
      </c>
      <c r="E353" s="24" t="str">
        <f>"140502240510"</f>
        <v>140502240510</v>
      </c>
      <c r="F353" s="24" t="str">
        <f t="shared" si="17"/>
        <v>SILLA FIJA</v>
      </c>
      <c r="G353" s="24" t="s">
        <v>14</v>
      </c>
      <c r="H353" s="24" t="s">
        <v>15</v>
      </c>
      <c r="I353" s="25">
        <v>1</v>
      </c>
      <c r="J353" s="26" t="s">
        <v>16</v>
      </c>
      <c r="K353" s="10">
        <v>25</v>
      </c>
    </row>
    <row r="354" spans="1:11" ht="36.75" x14ac:dyDescent="0.3">
      <c r="A354" s="22">
        <v>350</v>
      </c>
      <c r="B354" s="23" t="s">
        <v>22</v>
      </c>
      <c r="C354" s="24" t="str">
        <f t="shared" si="16"/>
        <v>140502</v>
      </c>
      <c r="D354" s="24" t="str">
        <f>"14.140502/2024.00511/BNC"</f>
        <v>14.140502/2024.00511/BNC</v>
      </c>
      <c r="E354" s="24" t="str">
        <f>"140502240511"</f>
        <v>140502240511</v>
      </c>
      <c r="F354" s="24" t="str">
        <f t="shared" si="17"/>
        <v>SILLA FIJA</v>
      </c>
      <c r="G354" s="24" t="s">
        <v>14</v>
      </c>
      <c r="H354" s="24" t="s">
        <v>15</v>
      </c>
      <c r="I354" s="25">
        <v>1</v>
      </c>
      <c r="J354" s="26" t="s">
        <v>16</v>
      </c>
      <c r="K354" s="10">
        <v>25</v>
      </c>
    </row>
    <row r="355" spans="1:11" ht="36.75" x14ac:dyDescent="0.3">
      <c r="A355" s="22">
        <v>351</v>
      </c>
      <c r="B355" s="23" t="s">
        <v>22</v>
      </c>
      <c r="C355" s="24" t="str">
        <f t="shared" si="16"/>
        <v>140502</v>
      </c>
      <c r="D355" s="24" t="str">
        <f>"14.140502/2024.00512/BNC"</f>
        <v>14.140502/2024.00512/BNC</v>
      </c>
      <c r="E355" s="24" t="str">
        <f>"140502240512"</f>
        <v>140502240512</v>
      </c>
      <c r="F355" s="24" t="str">
        <f t="shared" si="17"/>
        <v>SILLA FIJA</v>
      </c>
      <c r="G355" s="24" t="s">
        <v>14</v>
      </c>
      <c r="H355" s="24" t="s">
        <v>15</v>
      </c>
      <c r="I355" s="25">
        <v>1</v>
      </c>
      <c r="J355" s="26" t="s">
        <v>16</v>
      </c>
      <c r="K355" s="10">
        <v>25</v>
      </c>
    </row>
    <row r="356" spans="1:11" ht="36.75" x14ac:dyDescent="0.3">
      <c r="A356" s="22">
        <v>352</v>
      </c>
      <c r="B356" s="23" t="s">
        <v>22</v>
      </c>
      <c r="C356" s="24" t="str">
        <f t="shared" si="16"/>
        <v>140502</v>
      </c>
      <c r="D356" s="24" t="str">
        <f>"14.140502/2024.00513/BNC"</f>
        <v>14.140502/2024.00513/BNC</v>
      </c>
      <c r="E356" s="24" t="str">
        <f>"140502240513"</f>
        <v>140502240513</v>
      </c>
      <c r="F356" s="24" t="str">
        <f t="shared" si="17"/>
        <v>SILLA FIJA</v>
      </c>
      <c r="G356" s="24" t="s">
        <v>14</v>
      </c>
      <c r="H356" s="24" t="s">
        <v>15</v>
      </c>
      <c r="I356" s="25">
        <v>1</v>
      </c>
      <c r="J356" s="26" t="s">
        <v>16</v>
      </c>
      <c r="K356" s="10">
        <v>25</v>
      </c>
    </row>
    <row r="357" spans="1:11" ht="36.75" x14ac:dyDescent="0.3">
      <c r="A357" s="22">
        <v>353</v>
      </c>
      <c r="B357" s="23" t="s">
        <v>22</v>
      </c>
      <c r="C357" s="24" t="str">
        <f t="shared" si="16"/>
        <v>140502</v>
      </c>
      <c r="D357" s="24" t="str">
        <f>"14.140502/2024.00514/BNC"</f>
        <v>14.140502/2024.00514/BNC</v>
      </c>
      <c r="E357" s="24" t="str">
        <f>"140502240514"</f>
        <v>140502240514</v>
      </c>
      <c r="F357" s="24" t="str">
        <f t="shared" si="17"/>
        <v>SILLA FIJA</v>
      </c>
      <c r="G357" s="24" t="s">
        <v>14</v>
      </c>
      <c r="H357" s="24" t="s">
        <v>15</v>
      </c>
      <c r="I357" s="25">
        <v>1</v>
      </c>
      <c r="J357" s="26" t="s">
        <v>16</v>
      </c>
      <c r="K357" s="10">
        <v>25</v>
      </c>
    </row>
    <row r="358" spans="1:11" ht="36.75" x14ac:dyDescent="0.3">
      <c r="A358" s="22">
        <v>354</v>
      </c>
      <c r="B358" s="23" t="s">
        <v>22</v>
      </c>
      <c r="C358" s="24" t="str">
        <f t="shared" si="16"/>
        <v>140502</v>
      </c>
      <c r="D358" s="24" t="str">
        <f>"14.140502/2024.00515/BNC"</f>
        <v>14.140502/2024.00515/BNC</v>
      </c>
      <c r="E358" s="24" t="str">
        <f>"140502240515"</f>
        <v>140502240515</v>
      </c>
      <c r="F358" s="24" t="str">
        <f t="shared" si="17"/>
        <v>SILLA FIJA</v>
      </c>
      <c r="G358" s="24" t="s">
        <v>14</v>
      </c>
      <c r="H358" s="24" t="s">
        <v>15</v>
      </c>
      <c r="I358" s="25">
        <v>1</v>
      </c>
      <c r="J358" s="26" t="s">
        <v>16</v>
      </c>
      <c r="K358" s="10">
        <v>25</v>
      </c>
    </row>
    <row r="359" spans="1:11" ht="36.75" x14ac:dyDescent="0.3">
      <c r="A359" s="22">
        <v>355</v>
      </c>
      <c r="B359" s="23" t="s">
        <v>22</v>
      </c>
      <c r="C359" s="24" t="str">
        <f t="shared" si="16"/>
        <v>140502</v>
      </c>
      <c r="D359" s="24" t="str">
        <f>"14.140502/2024.00516/BNC"</f>
        <v>14.140502/2024.00516/BNC</v>
      </c>
      <c r="E359" s="24" t="str">
        <f>"140502240516"</f>
        <v>140502240516</v>
      </c>
      <c r="F359" s="24" t="str">
        <f t="shared" si="17"/>
        <v>SILLA FIJA</v>
      </c>
      <c r="G359" s="24" t="s">
        <v>14</v>
      </c>
      <c r="H359" s="24" t="s">
        <v>15</v>
      </c>
      <c r="I359" s="25">
        <v>1</v>
      </c>
      <c r="J359" s="26" t="s">
        <v>16</v>
      </c>
      <c r="K359" s="10">
        <v>25</v>
      </c>
    </row>
    <row r="360" spans="1:11" ht="36.75" x14ac:dyDescent="0.3">
      <c r="A360" s="22">
        <v>356</v>
      </c>
      <c r="B360" s="23" t="s">
        <v>22</v>
      </c>
      <c r="C360" s="24" t="str">
        <f t="shared" si="16"/>
        <v>140502</v>
      </c>
      <c r="D360" s="24" t="str">
        <f>"14.140502/2024.00517/BNC"</f>
        <v>14.140502/2024.00517/BNC</v>
      </c>
      <c r="E360" s="24" t="str">
        <f>"140502240517"</f>
        <v>140502240517</v>
      </c>
      <c r="F360" s="24" t="str">
        <f t="shared" si="17"/>
        <v>SILLA FIJA</v>
      </c>
      <c r="G360" s="24" t="s">
        <v>14</v>
      </c>
      <c r="H360" s="24" t="s">
        <v>15</v>
      </c>
      <c r="I360" s="25">
        <v>1</v>
      </c>
      <c r="J360" s="26" t="s">
        <v>16</v>
      </c>
      <c r="K360" s="10">
        <v>25</v>
      </c>
    </row>
    <row r="361" spans="1:11" ht="36.75" x14ac:dyDescent="0.3">
      <c r="A361" s="22">
        <v>357</v>
      </c>
      <c r="B361" s="23" t="s">
        <v>22</v>
      </c>
      <c r="C361" s="24" t="str">
        <f t="shared" si="16"/>
        <v>140502</v>
      </c>
      <c r="D361" s="24" t="str">
        <f>"14.140502/2024.00518/BNC"</f>
        <v>14.140502/2024.00518/BNC</v>
      </c>
      <c r="E361" s="24" t="str">
        <f>"140502240518"</f>
        <v>140502240518</v>
      </c>
      <c r="F361" s="24" t="str">
        <f t="shared" si="17"/>
        <v>SILLA FIJA</v>
      </c>
      <c r="G361" s="24" t="s">
        <v>14</v>
      </c>
      <c r="H361" s="24" t="s">
        <v>15</v>
      </c>
      <c r="I361" s="25">
        <v>1</v>
      </c>
      <c r="J361" s="26" t="s">
        <v>16</v>
      </c>
      <c r="K361" s="10">
        <v>25</v>
      </c>
    </row>
    <row r="362" spans="1:11" ht="36.75" x14ac:dyDescent="0.3">
      <c r="A362" s="22">
        <v>358</v>
      </c>
      <c r="B362" s="23" t="s">
        <v>22</v>
      </c>
      <c r="C362" s="24" t="str">
        <f t="shared" si="16"/>
        <v>140502</v>
      </c>
      <c r="D362" s="24" t="str">
        <f>"14.140502/2024.00519/BNC"</f>
        <v>14.140502/2024.00519/BNC</v>
      </c>
      <c r="E362" s="24" t="str">
        <f>"140502240519"</f>
        <v>140502240519</v>
      </c>
      <c r="F362" s="24" t="str">
        <f t="shared" si="17"/>
        <v>SILLA FIJA</v>
      </c>
      <c r="G362" s="24" t="s">
        <v>14</v>
      </c>
      <c r="H362" s="24" t="s">
        <v>15</v>
      </c>
      <c r="I362" s="25">
        <v>1</v>
      </c>
      <c r="J362" s="26" t="s">
        <v>16</v>
      </c>
      <c r="K362" s="10">
        <v>25</v>
      </c>
    </row>
    <row r="363" spans="1:11" ht="36.75" x14ac:dyDescent="0.3">
      <c r="A363" s="22">
        <v>359</v>
      </c>
      <c r="B363" s="23" t="s">
        <v>22</v>
      </c>
      <c r="C363" s="24" t="str">
        <f t="shared" si="16"/>
        <v>140502</v>
      </c>
      <c r="D363" s="24" t="str">
        <f>"14.140502/2024.00520/BNC"</f>
        <v>14.140502/2024.00520/BNC</v>
      </c>
      <c r="E363" s="24" t="str">
        <f>"140502240520"</f>
        <v>140502240520</v>
      </c>
      <c r="F363" s="24" t="str">
        <f t="shared" si="17"/>
        <v>SILLA FIJA</v>
      </c>
      <c r="G363" s="24" t="s">
        <v>14</v>
      </c>
      <c r="H363" s="24" t="s">
        <v>15</v>
      </c>
      <c r="I363" s="25">
        <v>1</v>
      </c>
      <c r="J363" s="26" t="s">
        <v>16</v>
      </c>
      <c r="K363" s="10">
        <v>25</v>
      </c>
    </row>
    <row r="364" spans="1:11" ht="36.75" x14ac:dyDescent="0.3">
      <c r="A364" s="22">
        <v>360</v>
      </c>
      <c r="B364" s="23" t="s">
        <v>22</v>
      </c>
      <c r="C364" s="24" t="str">
        <f t="shared" si="16"/>
        <v>140502</v>
      </c>
      <c r="D364" s="24" t="str">
        <f>"14.140502/2024.00521/BNC"</f>
        <v>14.140502/2024.00521/BNC</v>
      </c>
      <c r="E364" s="24" t="str">
        <f>"140502240521"</f>
        <v>140502240521</v>
      </c>
      <c r="F364" s="24" t="str">
        <f t="shared" si="17"/>
        <v>SILLA FIJA</v>
      </c>
      <c r="G364" s="24" t="s">
        <v>14</v>
      </c>
      <c r="H364" s="24" t="s">
        <v>15</v>
      </c>
      <c r="I364" s="25">
        <v>1</v>
      </c>
      <c r="J364" s="26" t="s">
        <v>16</v>
      </c>
      <c r="K364" s="10">
        <v>25</v>
      </c>
    </row>
    <row r="365" spans="1:11" ht="36.75" x14ac:dyDescent="0.3">
      <c r="A365" s="22">
        <v>361</v>
      </c>
      <c r="B365" s="23" t="s">
        <v>22</v>
      </c>
      <c r="C365" s="24" t="str">
        <f t="shared" si="16"/>
        <v>140502</v>
      </c>
      <c r="D365" s="24" t="str">
        <f>"14.140502/2024.00522/BNC"</f>
        <v>14.140502/2024.00522/BNC</v>
      </c>
      <c r="E365" s="24" t="str">
        <f>"140502240522"</f>
        <v>140502240522</v>
      </c>
      <c r="F365" s="24" t="str">
        <f t="shared" si="17"/>
        <v>SILLA FIJA</v>
      </c>
      <c r="G365" s="24" t="s">
        <v>14</v>
      </c>
      <c r="H365" s="24" t="s">
        <v>15</v>
      </c>
      <c r="I365" s="25">
        <v>1</v>
      </c>
      <c r="J365" s="26" t="s">
        <v>16</v>
      </c>
      <c r="K365" s="10">
        <v>25</v>
      </c>
    </row>
    <row r="366" spans="1:11" ht="36.75" x14ac:dyDescent="0.3">
      <c r="A366" s="22">
        <v>362</v>
      </c>
      <c r="B366" s="23" t="s">
        <v>22</v>
      </c>
      <c r="C366" s="24" t="str">
        <f t="shared" si="16"/>
        <v>140502</v>
      </c>
      <c r="D366" s="24" t="str">
        <f>"14.140502/2024.00523/BNC"</f>
        <v>14.140502/2024.00523/BNC</v>
      </c>
      <c r="E366" s="24" t="str">
        <f>"140502240523"</f>
        <v>140502240523</v>
      </c>
      <c r="F366" s="24" t="str">
        <f t="shared" si="17"/>
        <v>SILLA FIJA</v>
      </c>
      <c r="G366" s="24" t="s">
        <v>14</v>
      </c>
      <c r="H366" s="24" t="s">
        <v>15</v>
      </c>
      <c r="I366" s="25">
        <v>1</v>
      </c>
      <c r="J366" s="26" t="s">
        <v>16</v>
      </c>
      <c r="K366" s="10">
        <v>25</v>
      </c>
    </row>
    <row r="367" spans="1:11" ht="36.75" x14ac:dyDescent="0.3">
      <c r="A367" s="22">
        <v>363</v>
      </c>
      <c r="B367" s="23" t="s">
        <v>22</v>
      </c>
      <c r="C367" s="24" t="str">
        <f t="shared" si="16"/>
        <v>140502</v>
      </c>
      <c r="D367" s="24" t="str">
        <f>"14.140502/2024.00524/BNC"</f>
        <v>14.140502/2024.00524/BNC</v>
      </c>
      <c r="E367" s="24" t="str">
        <f>"140502240524"</f>
        <v>140502240524</v>
      </c>
      <c r="F367" s="24" t="str">
        <f t="shared" si="17"/>
        <v>SILLA FIJA</v>
      </c>
      <c r="G367" s="24" t="s">
        <v>14</v>
      </c>
      <c r="H367" s="24" t="s">
        <v>15</v>
      </c>
      <c r="I367" s="25">
        <v>1</v>
      </c>
      <c r="J367" s="26" t="s">
        <v>16</v>
      </c>
      <c r="K367" s="10">
        <v>25</v>
      </c>
    </row>
    <row r="368" spans="1:11" ht="36.75" x14ac:dyDescent="0.3">
      <c r="A368" s="22">
        <v>364</v>
      </c>
      <c r="B368" s="23" t="s">
        <v>22</v>
      </c>
      <c r="C368" s="24" t="str">
        <f t="shared" si="16"/>
        <v>140502</v>
      </c>
      <c r="D368" s="24" t="str">
        <f>"14.140502/2024.00525/BNC"</f>
        <v>14.140502/2024.00525/BNC</v>
      </c>
      <c r="E368" s="24" t="str">
        <f>"140502240525"</f>
        <v>140502240525</v>
      </c>
      <c r="F368" s="24" t="str">
        <f t="shared" si="17"/>
        <v>SILLA FIJA</v>
      </c>
      <c r="G368" s="24" t="s">
        <v>14</v>
      </c>
      <c r="H368" s="24" t="s">
        <v>15</v>
      </c>
      <c r="I368" s="25">
        <v>1</v>
      </c>
      <c r="J368" s="26" t="s">
        <v>16</v>
      </c>
      <c r="K368" s="10">
        <v>25</v>
      </c>
    </row>
    <row r="369" spans="1:11" ht="36.75" x14ac:dyDescent="0.3">
      <c r="A369" s="22">
        <v>365</v>
      </c>
      <c r="B369" s="23" t="s">
        <v>22</v>
      </c>
      <c r="C369" s="24" t="str">
        <f t="shared" si="16"/>
        <v>140502</v>
      </c>
      <c r="D369" s="24" t="str">
        <f>"14.140502/2024.00526/BNC"</f>
        <v>14.140502/2024.00526/BNC</v>
      </c>
      <c r="E369" s="24" t="str">
        <f>"140502240526"</f>
        <v>140502240526</v>
      </c>
      <c r="F369" s="24" t="str">
        <f t="shared" si="17"/>
        <v>SILLA FIJA</v>
      </c>
      <c r="G369" s="24" t="s">
        <v>14</v>
      </c>
      <c r="H369" s="24" t="s">
        <v>15</v>
      </c>
      <c r="I369" s="25">
        <v>1</v>
      </c>
      <c r="J369" s="26" t="s">
        <v>16</v>
      </c>
      <c r="K369" s="10">
        <v>25</v>
      </c>
    </row>
    <row r="370" spans="1:11" ht="36.75" x14ac:dyDescent="0.3">
      <c r="A370" s="22">
        <v>366</v>
      </c>
      <c r="B370" s="23" t="s">
        <v>22</v>
      </c>
      <c r="C370" s="24" t="str">
        <f t="shared" si="16"/>
        <v>140502</v>
      </c>
      <c r="D370" s="24" t="str">
        <f>"14.140502/2024.00527/BNC"</f>
        <v>14.140502/2024.00527/BNC</v>
      </c>
      <c r="E370" s="24" t="str">
        <f>"140502240527"</f>
        <v>140502240527</v>
      </c>
      <c r="F370" s="24" t="str">
        <f t="shared" si="17"/>
        <v>SILLA FIJA</v>
      </c>
      <c r="G370" s="24" t="s">
        <v>14</v>
      </c>
      <c r="H370" s="24" t="s">
        <v>15</v>
      </c>
      <c r="I370" s="25">
        <v>1</v>
      </c>
      <c r="J370" s="26" t="s">
        <v>16</v>
      </c>
      <c r="K370" s="10">
        <v>25</v>
      </c>
    </row>
    <row r="371" spans="1:11" ht="36.75" x14ac:dyDescent="0.3">
      <c r="A371" s="22">
        <v>367</v>
      </c>
      <c r="B371" s="23" t="s">
        <v>22</v>
      </c>
      <c r="C371" s="24" t="str">
        <f t="shared" si="16"/>
        <v>140502</v>
      </c>
      <c r="D371" s="24" t="str">
        <f>"14.140502/2024.00528/BNC"</f>
        <v>14.140502/2024.00528/BNC</v>
      </c>
      <c r="E371" s="24" t="str">
        <f>"140502240528"</f>
        <v>140502240528</v>
      </c>
      <c r="F371" s="24" t="str">
        <f t="shared" si="17"/>
        <v>SILLA FIJA</v>
      </c>
      <c r="G371" s="24" t="s">
        <v>14</v>
      </c>
      <c r="H371" s="24" t="s">
        <v>15</v>
      </c>
      <c r="I371" s="25">
        <v>1</v>
      </c>
      <c r="J371" s="26" t="s">
        <v>16</v>
      </c>
      <c r="K371" s="10">
        <v>25</v>
      </c>
    </row>
    <row r="372" spans="1:11" ht="36.75" x14ac:dyDescent="0.3">
      <c r="A372" s="22">
        <v>368</v>
      </c>
      <c r="B372" s="23" t="s">
        <v>22</v>
      </c>
      <c r="C372" s="24" t="str">
        <f t="shared" si="16"/>
        <v>140502</v>
      </c>
      <c r="D372" s="24" t="str">
        <f>"14.140502/2024.00529/BNC"</f>
        <v>14.140502/2024.00529/BNC</v>
      </c>
      <c r="E372" s="24" t="str">
        <f>"140502240529"</f>
        <v>140502240529</v>
      </c>
      <c r="F372" s="24" t="str">
        <f t="shared" si="17"/>
        <v>SILLA FIJA</v>
      </c>
      <c r="G372" s="24" t="s">
        <v>14</v>
      </c>
      <c r="H372" s="24" t="s">
        <v>15</v>
      </c>
      <c r="I372" s="25">
        <v>1</v>
      </c>
      <c r="J372" s="26" t="s">
        <v>16</v>
      </c>
      <c r="K372" s="10">
        <v>25</v>
      </c>
    </row>
    <row r="373" spans="1:11" ht="36.75" x14ac:dyDescent="0.3">
      <c r="A373" s="22">
        <v>369</v>
      </c>
      <c r="B373" s="23" t="s">
        <v>22</v>
      </c>
      <c r="C373" s="24" t="str">
        <f t="shared" si="16"/>
        <v>140502</v>
      </c>
      <c r="D373" s="24" t="str">
        <f>"14.140502/2024.00530/BNC"</f>
        <v>14.140502/2024.00530/BNC</v>
      </c>
      <c r="E373" s="24" t="str">
        <f>"140502240530"</f>
        <v>140502240530</v>
      </c>
      <c r="F373" s="24" t="str">
        <f t="shared" si="17"/>
        <v>SILLA FIJA</v>
      </c>
      <c r="G373" s="24" t="s">
        <v>14</v>
      </c>
      <c r="H373" s="24" t="s">
        <v>15</v>
      </c>
      <c r="I373" s="25">
        <v>1</v>
      </c>
      <c r="J373" s="26" t="s">
        <v>16</v>
      </c>
      <c r="K373" s="10">
        <v>25</v>
      </c>
    </row>
    <row r="374" spans="1:11" ht="36.75" x14ac:dyDescent="0.3">
      <c r="A374" s="22">
        <v>370</v>
      </c>
      <c r="B374" s="23" t="s">
        <v>22</v>
      </c>
      <c r="C374" s="24" t="str">
        <f t="shared" si="16"/>
        <v>140502</v>
      </c>
      <c r="D374" s="24" t="str">
        <f>"14.140502/2024.00531/BNC"</f>
        <v>14.140502/2024.00531/BNC</v>
      </c>
      <c r="E374" s="24" t="str">
        <f>"140502240531"</f>
        <v>140502240531</v>
      </c>
      <c r="F374" s="24" t="str">
        <f t="shared" si="17"/>
        <v>SILLA FIJA</v>
      </c>
      <c r="G374" s="24" t="s">
        <v>14</v>
      </c>
      <c r="H374" s="24" t="s">
        <v>15</v>
      </c>
      <c r="I374" s="25">
        <v>1</v>
      </c>
      <c r="J374" s="26" t="s">
        <v>16</v>
      </c>
      <c r="K374" s="10">
        <v>25</v>
      </c>
    </row>
    <row r="375" spans="1:11" ht="36.75" x14ac:dyDescent="0.3">
      <c r="A375" s="22">
        <v>371</v>
      </c>
      <c r="B375" s="23" t="s">
        <v>22</v>
      </c>
      <c r="C375" s="24" t="str">
        <f t="shared" si="16"/>
        <v>140502</v>
      </c>
      <c r="D375" s="24" t="str">
        <f>"14.140502/2024.00532/BNC"</f>
        <v>14.140502/2024.00532/BNC</v>
      </c>
      <c r="E375" s="24" t="str">
        <f>"140502240532"</f>
        <v>140502240532</v>
      </c>
      <c r="F375" s="24" t="str">
        <f t="shared" si="17"/>
        <v>SILLA FIJA</v>
      </c>
      <c r="G375" s="24" t="s">
        <v>14</v>
      </c>
      <c r="H375" s="24" t="s">
        <v>15</v>
      </c>
      <c r="I375" s="25">
        <v>1</v>
      </c>
      <c r="J375" s="26" t="s">
        <v>16</v>
      </c>
      <c r="K375" s="10">
        <v>25</v>
      </c>
    </row>
    <row r="376" spans="1:11" ht="36.75" x14ac:dyDescent="0.3">
      <c r="A376" s="22">
        <v>372</v>
      </c>
      <c r="B376" s="23" t="s">
        <v>22</v>
      </c>
      <c r="C376" s="24" t="str">
        <f t="shared" si="16"/>
        <v>140502</v>
      </c>
      <c r="D376" s="24" t="str">
        <f>"14.140502/2024.00533/BNC"</f>
        <v>14.140502/2024.00533/BNC</v>
      </c>
      <c r="E376" s="24" t="str">
        <f>"140502240533"</f>
        <v>140502240533</v>
      </c>
      <c r="F376" s="24" t="str">
        <f t="shared" si="17"/>
        <v>SILLA FIJA</v>
      </c>
      <c r="G376" s="24" t="s">
        <v>14</v>
      </c>
      <c r="H376" s="24" t="s">
        <v>15</v>
      </c>
      <c r="I376" s="25">
        <v>1</v>
      </c>
      <c r="J376" s="26" t="s">
        <v>16</v>
      </c>
      <c r="K376" s="10">
        <v>25</v>
      </c>
    </row>
    <row r="377" spans="1:11" ht="36.75" x14ac:dyDescent="0.3">
      <c r="A377" s="22">
        <v>373</v>
      </c>
      <c r="B377" s="23" t="s">
        <v>22</v>
      </c>
      <c r="C377" s="24" t="str">
        <f t="shared" si="16"/>
        <v>140502</v>
      </c>
      <c r="D377" s="24" t="str">
        <f>"14.140502/2024.00534/BNC"</f>
        <v>14.140502/2024.00534/BNC</v>
      </c>
      <c r="E377" s="24" t="str">
        <f>"140502240534"</f>
        <v>140502240534</v>
      </c>
      <c r="F377" s="24" t="str">
        <f t="shared" si="17"/>
        <v>SILLA FIJA</v>
      </c>
      <c r="G377" s="24" t="s">
        <v>14</v>
      </c>
      <c r="H377" s="24" t="s">
        <v>15</v>
      </c>
      <c r="I377" s="25">
        <v>1</v>
      </c>
      <c r="J377" s="26" t="s">
        <v>16</v>
      </c>
      <c r="K377" s="10">
        <v>25</v>
      </c>
    </row>
    <row r="378" spans="1:11" ht="36.75" x14ac:dyDescent="0.3">
      <c r="A378" s="22">
        <v>374</v>
      </c>
      <c r="B378" s="23" t="s">
        <v>22</v>
      </c>
      <c r="C378" s="24" t="str">
        <f t="shared" si="16"/>
        <v>140502</v>
      </c>
      <c r="D378" s="24" t="str">
        <f>"14.140502/2024.00535/BNC"</f>
        <v>14.140502/2024.00535/BNC</v>
      </c>
      <c r="E378" s="24" t="str">
        <f>"140502240535"</f>
        <v>140502240535</v>
      </c>
      <c r="F378" s="24" t="str">
        <f t="shared" si="17"/>
        <v>SILLA FIJA</v>
      </c>
      <c r="G378" s="24" t="s">
        <v>14</v>
      </c>
      <c r="H378" s="24" t="s">
        <v>15</v>
      </c>
      <c r="I378" s="25">
        <v>1</v>
      </c>
      <c r="J378" s="26" t="s">
        <v>16</v>
      </c>
      <c r="K378" s="10">
        <v>25</v>
      </c>
    </row>
    <row r="379" spans="1:11" ht="36.75" x14ac:dyDescent="0.3">
      <c r="A379" s="22">
        <v>375</v>
      </c>
      <c r="B379" s="23" t="s">
        <v>22</v>
      </c>
      <c r="C379" s="24" t="str">
        <f t="shared" si="16"/>
        <v>140502</v>
      </c>
      <c r="D379" s="24" t="str">
        <f>"14.140502/2024.00536/BNC"</f>
        <v>14.140502/2024.00536/BNC</v>
      </c>
      <c r="E379" s="24" t="str">
        <f>"140502240536"</f>
        <v>140502240536</v>
      </c>
      <c r="F379" s="24" t="str">
        <f t="shared" si="17"/>
        <v>SILLA FIJA</v>
      </c>
      <c r="G379" s="24" t="s">
        <v>14</v>
      </c>
      <c r="H379" s="24" t="s">
        <v>15</v>
      </c>
      <c r="I379" s="25">
        <v>1</v>
      </c>
      <c r="J379" s="26" t="s">
        <v>16</v>
      </c>
      <c r="K379" s="10">
        <v>25</v>
      </c>
    </row>
    <row r="380" spans="1:11" ht="36.75" x14ac:dyDescent="0.3">
      <c r="A380" s="22">
        <v>376</v>
      </c>
      <c r="B380" s="23" t="s">
        <v>22</v>
      </c>
      <c r="C380" s="24" t="str">
        <f t="shared" si="16"/>
        <v>140502</v>
      </c>
      <c r="D380" s="24" t="str">
        <f>"14.140502/2024.00537/BNC"</f>
        <v>14.140502/2024.00537/BNC</v>
      </c>
      <c r="E380" s="24" t="str">
        <f>"140502240537"</f>
        <v>140502240537</v>
      </c>
      <c r="F380" s="24" t="str">
        <f t="shared" si="17"/>
        <v>SILLA FIJA</v>
      </c>
      <c r="G380" s="24" t="s">
        <v>14</v>
      </c>
      <c r="H380" s="24" t="s">
        <v>15</v>
      </c>
      <c r="I380" s="25">
        <v>1</v>
      </c>
      <c r="J380" s="26" t="s">
        <v>16</v>
      </c>
      <c r="K380" s="10">
        <v>25</v>
      </c>
    </row>
    <row r="381" spans="1:11" ht="36.75" x14ac:dyDescent="0.3">
      <c r="A381" s="22">
        <v>377</v>
      </c>
      <c r="B381" s="23" t="s">
        <v>22</v>
      </c>
      <c r="C381" s="24" t="str">
        <f t="shared" si="16"/>
        <v>140502</v>
      </c>
      <c r="D381" s="24" t="str">
        <f>"14.140502/2024.00538/BNC"</f>
        <v>14.140502/2024.00538/BNC</v>
      </c>
      <c r="E381" s="24" t="str">
        <f>"140502240538"</f>
        <v>140502240538</v>
      </c>
      <c r="F381" s="24" t="str">
        <f t="shared" si="17"/>
        <v>SILLA FIJA</v>
      </c>
      <c r="G381" s="24" t="s">
        <v>14</v>
      </c>
      <c r="H381" s="24" t="s">
        <v>15</v>
      </c>
      <c r="I381" s="25">
        <v>1</v>
      </c>
      <c r="J381" s="26" t="s">
        <v>16</v>
      </c>
      <c r="K381" s="10">
        <v>25</v>
      </c>
    </row>
    <row r="382" spans="1:11" ht="36.75" x14ac:dyDescent="0.3">
      <c r="A382" s="22">
        <v>378</v>
      </c>
      <c r="B382" s="23" t="s">
        <v>22</v>
      </c>
      <c r="C382" s="24" t="str">
        <f t="shared" si="16"/>
        <v>140502</v>
      </c>
      <c r="D382" s="24" t="str">
        <f>"14.140502/2024.00539/BNC"</f>
        <v>14.140502/2024.00539/BNC</v>
      </c>
      <c r="E382" s="24" t="str">
        <f>"140502240539"</f>
        <v>140502240539</v>
      </c>
      <c r="F382" s="24" t="str">
        <f t="shared" si="17"/>
        <v>SILLA FIJA</v>
      </c>
      <c r="G382" s="24" t="s">
        <v>14</v>
      </c>
      <c r="H382" s="24" t="s">
        <v>15</v>
      </c>
      <c r="I382" s="25">
        <v>1</v>
      </c>
      <c r="J382" s="26" t="s">
        <v>16</v>
      </c>
      <c r="K382" s="10">
        <v>25</v>
      </c>
    </row>
    <row r="383" spans="1:11" ht="36.75" x14ac:dyDescent="0.3">
      <c r="A383" s="22">
        <v>379</v>
      </c>
      <c r="B383" s="23" t="s">
        <v>22</v>
      </c>
      <c r="C383" s="24" t="str">
        <f t="shared" si="16"/>
        <v>140502</v>
      </c>
      <c r="D383" s="24" t="str">
        <f>"14.140502/2024.00540/BNC"</f>
        <v>14.140502/2024.00540/BNC</v>
      </c>
      <c r="E383" s="24" t="str">
        <f>"140502240540"</f>
        <v>140502240540</v>
      </c>
      <c r="F383" s="24" t="str">
        <f t="shared" si="17"/>
        <v>SILLA FIJA</v>
      </c>
      <c r="G383" s="24" t="s">
        <v>14</v>
      </c>
      <c r="H383" s="24" t="s">
        <v>15</v>
      </c>
      <c r="I383" s="25">
        <v>1</v>
      </c>
      <c r="J383" s="26" t="s">
        <v>16</v>
      </c>
      <c r="K383" s="10">
        <v>25</v>
      </c>
    </row>
    <row r="384" spans="1:11" ht="36.75" x14ac:dyDescent="0.3">
      <c r="A384" s="22">
        <v>380</v>
      </c>
      <c r="B384" s="23" t="s">
        <v>22</v>
      </c>
      <c r="C384" s="24" t="str">
        <f t="shared" si="16"/>
        <v>140502</v>
      </c>
      <c r="D384" s="24" t="str">
        <f>"14.140502/2024.00541/BNC"</f>
        <v>14.140502/2024.00541/BNC</v>
      </c>
      <c r="E384" s="24" t="str">
        <f>"140502240541"</f>
        <v>140502240541</v>
      </c>
      <c r="F384" s="24" t="str">
        <f t="shared" si="17"/>
        <v>SILLA FIJA</v>
      </c>
      <c r="G384" s="24" t="s">
        <v>14</v>
      </c>
      <c r="H384" s="24" t="s">
        <v>15</v>
      </c>
      <c r="I384" s="25">
        <v>1</v>
      </c>
      <c r="J384" s="26" t="s">
        <v>16</v>
      </c>
      <c r="K384" s="10">
        <v>25</v>
      </c>
    </row>
    <row r="385" spans="1:11" ht="36.75" x14ac:dyDescent="0.3">
      <c r="A385" s="22">
        <v>381</v>
      </c>
      <c r="B385" s="23" t="s">
        <v>22</v>
      </c>
      <c r="C385" s="24" t="str">
        <f t="shared" si="16"/>
        <v>140502</v>
      </c>
      <c r="D385" s="24" t="str">
        <f>"14.140502/2024.00542/BNC"</f>
        <v>14.140502/2024.00542/BNC</v>
      </c>
      <c r="E385" s="24" t="str">
        <f>"140502240542"</f>
        <v>140502240542</v>
      </c>
      <c r="F385" s="24" t="str">
        <f t="shared" si="17"/>
        <v>SILLA FIJA</v>
      </c>
      <c r="G385" s="24" t="s">
        <v>14</v>
      </c>
      <c r="H385" s="24" t="s">
        <v>15</v>
      </c>
      <c r="I385" s="25">
        <v>1</v>
      </c>
      <c r="J385" s="26" t="s">
        <v>16</v>
      </c>
      <c r="K385" s="10">
        <v>25</v>
      </c>
    </row>
    <row r="386" spans="1:11" ht="36.75" x14ac:dyDescent="0.3">
      <c r="A386" s="22">
        <v>382</v>
      </c>
      <c r="B386" s="23" t="s">
        <v>22</v>
      </c>
      <c r="C386" s="24" t="str">
        <f t="shared" si="16"/>
        <v>140502</v>
      </c>
      <c r="D386" s="24" t="str">
        <f>"14.140502/2024.00543/BNC"</f>
        <v>14.140502/2024.00543/BNC</v>
      </c>
      <c r="E386" s="24" t="str">
        <f>"140502240543"</f>
        <v>140502240543</v>
      </c>
      <c r="F386" s="24" t="str">
        <f t="shared" si="17"/>
        <v>SILLA FIJA</v>
      </c>
      <c r="G386" s="24" t="s">
        <v>14</v>
      </c>
      <c r="H386" s="24" t="s">
        <v>15</v>
      </c>
      <c r="I386" s="25">
        <v>1</v>
      </c>
      <c r="J386" s="26" t="s">
        <v>16</v>
      </c>
      <c r="K386" s="10">
        <v>25</v>
      </c>
    </row>
    <row r="387" spans="1:11" ht="36.75" x14ac:dyDescent="0.3">
      <c r="A387" s="22">
        <v>383</v>
      </c>
      <c r="B387" s="23" t="s">
        <v>22</v>
      </c>
      <c r="C387" s="24" t="str">
        <f t="shared" si="16"/>
        <v>140502</v>
      </c>
      <c r="D387" s="24" t="str">
        <f>"14.140502/2024.00544/BNC"</f>
        <v>14.140502/2024.00544/BNC</v>
      </c>
      <c r="E387" s="24" t="str">
        <f>"140502240544"</f>
        <v>140502240544</v>
      </c>
      <c r="F387" s="24" t="str">
        <f t="shared" si="17"/>
        <v>SILLA FIJA</v>
      </c>
      <c r="G387" s="24" t="s">
        <v>14</v>
      </c>
      <c r="H387" s="24" t="s">
        <v>15</v>
      </c>
      <c r="I387" s="25">
        <v>1</v>
      </c>
      <c r="J387" s="26" t="s">
        <v>16</v>
      </c>
      <c r="K387" s="10">
        <v>25</v>
      </c>
    </row>
    <row r="388" spans="1:11" ht="36.75" x14ac:dyDescent="0.3">
      <c r="A388" s="22">
        <v>384</v>
      </c>
      <c r="B388" s="23" t="s">
        <v>22</v>
      </c>
      <c r="C388" s="24" t="str">
        <f t="shared" si="16"/>
        <v>140502</v>
      </c>
      <c r="D388" s="24" t="str">
        <f>"14.140502/2024.00545/BNC"</f>
        <v>14.140502/2024.00545/BNC</v>
      </c>
      <c r="E388" s="24" t="str">
        <f>"140502240545"</f>
        <v>140502240545</v>
      </c>
      <c r="F388" s="24" t="str">
        <f t="shared" si="17"/>
        <v>SILLA FIJA</v>
      </c>
      <c r="G388" s="24" t="s">
        <v>14</v>
      </c>
      <c r="H388" s="24" t="s">
        <v>15</v>
      </c>
      <c r="I388" s="25">
        <v>1</v>
      </c>
      <c r="J388" s="26" t="s">
        <v>16</v>
      </c>
      <c r="K388" s="10">
        <v>25</v>
      </c>
    </row>
    <row r="389" spans="1:11" ht="36.75" x14ac:dyDescent="0.3">
      <c r="A389" s="22">
        <v>385</v>
      </c>
      <c r="B389" s="23" t="s">
        <v>22</v>
      </c>
      <c r="C389" s="24" t="str">
        <f t="shared" si="16"/>
        <v>140502</v>
      </c>
      <c r="D389" s="24" t="str">
        <f>"14.140502/2024.00546/BNC"</f>
        <v>14.140502/2024.00546/BNC</v>
      </c>
      <c r="E389" s="24" t="str">
        <f>"140502240546"</f>
        <v>140502240546</v>
      </c>
      <c r="F389" s="24" t="str">
        <f t="shared" si="17"/>
        <v>SILLA FIJA</v>
      </c>
      <c r="G389" s="24" t="s">
        <v>14</v>
      </c>
      <c r="H389" s="24" t="s">
        <v>15</v>
      </c>
      <c r="I389" s="25">
        <v>1</v>
      </c>
      <c r="J389" s="26" t="s">
        <v>16</v>
      </c>
      <c r="K389" s="10">
        <v>25</v>
      </c>
    </row>
    <row r="390" spans="1:11" ht="36.75" x14ac:dyDescent="0.3">
      <c r="A390" s="22">
        <v>386</v>
      </c>
      <c r="B390" s="23" t="s">
        <v>22</v>
      </c>
      <c r="C390" s="24" t="str">
        <f t="shared" si="16"/>
        <v>140502</v>
      </c>
      <c r="D390" s="24" t="str">
        <f>"14.140502/2024.00547/BNC"</f>
        <v>14.140502/2024.00547/BNC</v>
      </c>
      <c r="E390" s="24" t="str">
        <f>"140502240547"</f>
        <v>140502240547</v>
      </c>
      <c r="F390" s="24" t="str">
        <f t="shared" si="17"/>
        <v>SILLA FIJA</v>
      </c>
      <c r="G390" s="24" t="s">
        <v>14</v>
      </c>
      <c r="H390" s="24" t="s">
        <v>15</v>
      </c>
      <c r="I390" s="25">
        <v>1</v>
      </c>
      <c r="J390" s="26" t="s">
        <v>16</v>
      </c>
      <c r="K390" s="10">
        <v>25</v>
      </c>
    </row>
    <row r="391" spans="1:11" ht="36.75" x14ac:dyDescent="0.3">
      <c r="A391" s="22">
        <v>387</v>
      </c>
      <c r="B391" s="23" t="s">
        <v>22</v>
      </c>
      <c r="C391" s="24" t="str">
        <f t="shared" si="16"/>
        <v>140502</v>
      </c>
      <c r="D391" s="24" t="str">
        <f>"14.140502/2024.00548/BNC"</f>
        <v>14.140502/2024.00548/BNC</v>
      </c>
      <c r="E391" s="24" t="str">
        <f>"140502240548"</f>
        <v>140502240548</v>
      </c>
      <c r="F391" s="24" t="str">
        <f t="shared" si="17"/>
        <v>SILLA FIJA</v>
      </c>
      <c r="G391" s="24" t="s">
        <v>14</v>
      </c>
      <c r="H391" s="24" t="s">
        <v>15</v>
      </c>
      <c r="I391" s="25">
        <v>1</v>
      </c>
      <c r="J391" s="26" t="s">
        <v>16</v>
      </c>
      <c r="K391" s="10">
        <v>25</v>
      </c>
    </row>
    <row r="392" spans="1:11" ht="36.75" x14ac:dyDescent="0.3">
      <c r="A392" s="22">
        <v>388</v>
      </c>
      <c r="B392" s="23" t="s">
        <v>22</v>
      </c>
      <c r="C392" s="24" t="str">
        <f t="shared" si="16"/>
        <v>140502</v>
      </c>
      <c r="D392" s="24" t="str">
        <f>"14.140502/2024.00549/BNC"</f>
        <v>14.140502/2024.00549/BNC</v>
      </c>
      <c r="E392" s="24" t="str">
        <f>"140502240549"</f>
        <v>140502240549</v>
      </c>
      <c r="F392" s="24" t="str">
        <f t="shared" si="17"/>
        <v>SILLA FIJA</v>
      </c>
      <c r="G392" s="24" t="s">
        <v>14</v>
      </c>
      <c r="H392" s="24" t="s">
        <v>15</v>
      </c>
      <c r="I392" s="25">
        <v>1</v>
      </c>
      <c r="J392" s="26" t="s">
        <v>16</v>
      </c>
      <c r="K392" s="10">
        <v>25</v>
      </c>
    </row>
    <row r="393" spans="1:11" ht="36.75" x14ac:dyDescent="0.3">
      <c r="A393" s="22">
        <v>389</v>
      </c>
      <c r="B393" s="23" t="s">
        <v>22</v>
      </c>
      <c r="C393" s="24" t="str">
        <f t="shared" si="16"/>
        <v>140502</v>
      </c>
      <c r="D393" s="24" t="str">
        <f>"14.140502/2024.00550/BNC"</f>
        <v>14.140502/2024.00550/BNC</v>
      </c>
      <c r="E393" s="24" t="str">
        <f>"140502240550"</f>
        <v>140502240550</v>
      </c>
      <c r="F393" s="24" t="str">
        <f t="shared" si="17"/>
        <v>SILLA FIJA</v>
      </c>
      <c r="G393" s="24" t="s">
        <v>14</v>
      </c>
      <c r="H393" s="24" t="s">
        <v>15</v>
      </c>
      <c r="I393" s="25">
        <v>1</v>
      </c>
      <c r="J393" s="26" t="s">
        <v>16</v>
      </c>
      <c r="K393" s="10">
        <v>25</v>
      </c>
    </row>
    <row r="394" spans="1:11" ht="36.75" x14ac:dyDescent="0.3">
      <c r="A394" s="22">
        <v>390</v>
      </c>
      <c r="B394" s="23" t="s">
        <v>22</v>
      </c>
      <c r="C394" s="24" t="str">
        <f t="shared" ref="C394:C430" si="18">"140502"</f>
        <v>140502</v>
      </c>
      <c r="D394" s="24" t="str">
        <f>"14.140502/2024.00551/BNC"</f>
        <v>14.140502/2024.00551/BNC</v>
      </c>
      <c r="E394" s="24" t="str">
        <f>"140502240551"</f>
        <v>140502240551</v>
      </c>
      <c r="F394" s="24" t="str">
        <f t="shared" si="17"/>
        <v>SILLA FIJA</v>
      </c>
      <c r="G394" s="24" t="s">
        <v>14</v>
      </c>
      <c r="H394" s="24" t="s">
        <v>15</v>
      </c>
      <c r="I394" s="25">
        <v>1</v>
      </c>
      <c r="J394" s="26" t="s">
        <v>16</v>
      </c>
      <c r="K394" s="10">
        <v>25</v>
      </c>
    </row>
    <row r="395" spans="1:11" ht="36.75" x14ac:dyDescent="0.3">
      <c r="A395" s="22">
        <v>391</v>
      </c>
      <c r="B395" s="23" t="s">
        <v>22</v>
      </c>
      <c r="C395" s="24" t="str">
        <f t="shared" si="18"/>
        <v>140502</v>
      </c>
      <c r="D395" s="24" t="str">
        <f>"14.140502/2024.00552/BNC"</f>
        <v>14.140502/2024.00552/BNC</v>
      </c>
      <c r="E395" s="24" t="str">
        <f>"140502240552"</f>
        <v>140502240552</v>
      </c>
      <c r="F395" s="24" t="str">
        <f t="shared" si="17"/>
        <v>SILLA FIJA</v>
      </c>
      <c r="G395" s="24" t="s">
        <v>14</v>
      </c>
      <c r="H395" s="24" t="s">
        <v>15</v>
      </c>
      <c r="I395" s="25">
        <v>1</v>
      </c>
      <c r="J395" s="26" t="s">
        <v>16</v>
      </c>
      <c r="K395" s="10">
        <v>25</v>
      </c>
    </row>
    <row r="396" spans="1:11" ht="36.75" x14ac:dyDescent="0.3">
      <c r="A396" s="22">
        <v>392</v>
      </c>
      <c r="B396" s="23" t="s">
        <v>22</v>
      </c>
      <c r="C396" s="24" t="str">
        <f t="shared" si="18"/>
        <v>140502</v>
      </c>
      <c r="D396" s="24" t="str">
        <f>"14.140502/2024.00553/BNC"</f>
        <v>14.140502/2024.00553/BNC</v>
      </c>
      <c r="E396" s="24" t="str">
        <f>"140502240553"</f>
        <v>140502240553</v>
      </c>
      <c r="F396" s="24" t="str">
        <f t="shared" si="17"/>
        <v>SILLA FIJA</v>
      </c>
      <c r="G396" s="24" t="s">
        <v>14</v>
      </c>
      <c r="H396" s="24" t="s">
        <v>15</v>
      </c>
      <c r="I396" s="25">
        <v>1</v>
      </c>
      <c r="J396" s="26" t="s">
        <v>16</v>
      </c>
      <c r="K396" s="10">
        <v>25</v>
      </c>
    </row>
    <row r="397" spans="1:11" ht="36.75" x14ac:dyDescent="0.3">
      <c r="A397" s="22">
        <v>393</v>
      </c>
      <c r="B397" s="23" t="s">
        <v>22</v>
      </c>
      <c r="C397" s="24" t="str">
        <f t="shared" si="18"/>
        <v>140502</v>
      </c>
      <c r="D397" s="24" t="str">
        <f>"14.140502/2024.00554/BNC"</f>
        <v>14.140502/2024.00554/BNC</v>
      </c>
      <c r="E397" s="24" t="str">
        <f>"140502240554"</f>
        <v>140502240554</v>
      </c>
      <c r="F397" s="24" t="str">
        <f t="shared" si="17"/>
        <v>SILLA FIJA</v>
      </c>
      <c r="G397" s="24" t="s">
        <v>14</v>
      </c>
      <c r="H397" s="24" t="s">
        <v>15</v>
      </c>
      <c r="I397" s="25">
        <v>1</v>
      </c>
      <c r="J397" s="26" t="s">
        <v>16</v>
      </c>
      <c r="K397" s="10">
        <v>25</v>
      </c>
    </row>
    <row r="398" spans="1:11" ht="36.75" x14ac:dyDescent="0.3">
      <c r="A398" s="22">
        <v>394</v>
      </c>
      <c r="B398" s="23" t="s">
        <v>22</v>
      </c>
      <c r="C398" s="24" t="str">
        <f t="shared" si="18"/>
        <v>140502</v>
      </c>
      <c r="D398" s="24" t="str">
        <f>"14.140502/2024.00555/BNC"</f>
        <v>14.140502/2024.00555/BNC</v>
      </c>
      <c r="E398" s="24" t="str">
        <f>"140502240555"</f>
        <v>140502240555</v>
      </c>
      <c r="F398" s="24" t="str">
        <f t="shared" si="17"/>
        <v>SILLA FIJA</v>
      </c>
      <c r="G398" s="24" t="s">
        <v>14</v>
      </c>
      <c r="H398" s="24" t="s">
        <v>15</v>
      </c>
      <c r="I398" s="25">
        <v>1</v>
      </c>
      <c r="J398" s="26" t="s">
        <v>16</v>
      </c>
      <c r="K398" s="10">
        <v>25</v>
      </c>
    </row>
    <row r="399" spans="1:11" ht="36.75" x14ac:dyDescent="0.3">
      <c r="A399" s="22">
        <v>395</v>
      </c>
      <c r="B399" s="23" t="s">
        <v>22</v>
      </c>
      <c r="C399" s="24" t="str">
        <f t="shared" si="18"/>
        <v>140502</v>
      </c>
      <c r="D399" s="24" t="str">
        <f>"14.140502/2024.00556/BNC"</f>
        <v>14.140502/2024.00556/BNC</v>
      </c>
      <c r="E399" s="24" t="str">
        <f>"140502240556"</f>
        <v>140502240556</v>
      </c>
      <c r="F399" s="24" t="str">
        <f t="shared" si="17"/>
        <v>SILLA FIJA</v>
      </c>
      <c r="G399" s="24" t="s">
        <v>14</v>
      </c>
      <c r="H399" s="24" t="s">
        <v>15</v>
      </c>
      <c r="I399" s="25">
        <v>1</v>
      </c>
      <c r="J399" s="26" t="s">
        <v>16</v>
      </c>
      <c r="K399" s="10">
        <v>25</v>
      </c>
    </row>
    <row r="400" spans="1:11" ht="36.75" x14ac:dyDescent="0.3">
      <c r="A400" s="22">
        <v>396</v>
      </c>
      <c r="B400" s="23" t="s">
        <v>22</v>
      </c>
      <c r="C400" s="24" t="str">
        <f t="shared" si="18"/>
        <v>140502</v>
      </c>
      <c r="D400" s="24" t="str">
        <f>"14.140502/2024.00557/BNC"</f>
        <v>14.140502/2024.00557/BNC</v>
      </c>
      <c r="E400" s="24" t="str">
        <f>"140502240557"</f>
        <v>140502240557</v>
      </c>
      <c r="F400" s="24" t="str">
        <f t="shared" si="17"/>
        <v>SILLA FIJA</v>
      </c>
      <c r="G400" s="24" t="s">
        <v>14</v>
      </c>
      <c r="H400" s="24" t="s">
        <v>15</v>
      </c>
      <c r="I400" s="25">
        <v>1</v>
      </c>
      <c r="J400" s="26" t="s">
        <v>16</v>
      </c>
      <c r="K400" s="10">
        <v>25</v>
      </c>
    </row>
    <row r="401" spans="1:11" ht="36.75" x14ac:dyDescent="0.3">
      <c r="A401" s="22">
        <v>397</v>
      </c>
      <c r="B401" s="23" t="s">
        <v>22</v>
      </c>
      <c r="C401" s="24" t="str">
        <f t="shared" si="18"/>
        <v>140502</v>
      </c>
      <c r="D401" s="24" t="str">
        <f>"14.140502/2024.00558/BNC"</f>
        <v>14.140502/2024.00558/BNC</v>
      </c>
      <c r="E401" s="24" t="str">
        <f>"140502240558"</f>
        <v>140502240558</v>
      </c>
      <c r="F401" s="24" t="str">
        <f t="shared" si="17"/>
        <v>SILLA FIJA</v>
      </c>
      <c r="G401" s="24" t="s">
        <v>14</v>
      </c>
      <c r="H401" s="24" t="s">
        <v>15</v>
      </c>
      <c r="I401" s="25">
        <v>1</v>
      </c>
      <c r="J401" s="26" t="s">
        <v>16</v>
      </c>
      <c r="K401" s="10">
        <v>25</v>
      </c>
    </row>
    <row r="402" spans="1:11" ht="36.75" x14ac:dyDescent="0.3">
      <c r="A402" s="22">
        <v>398</v>
      </c>
      <c r="B402" s="23" t="s">
        <v>22</v>
      </c>
      <c r="C402" s="24" t="str">
        <f t="shared" si="18"/>
        <v>140502</v>
      </c>
      <c r="D402" s="24" t="str">
        <f>"14.140502/2024.00559/BNC"</f>
        <v>14.140502/2024.00559/BNC</v>
      </c>
      <c r="E402" s="24" t="str">
        <f>"140502240559"</f>
        <v>140502240559</v>
      </c>
      <c r="F402" s="24" t="str">
        <f t="shared" si="17"/>
        <v>SILLA FIJA</v>
      </c>
      <c r="G402" s="24" t="s">
        <v>14</v>
      </c>
      <c r="H402" s="24" t="s">
        <v>15</v>
      </c>
      <c r="I402" s="25">
        <v>1</v>
      </c>
      <c r="J402" s="26" t="s">
        <v>16</v>
      </c>
      <c r="K402" s="10">
        <v>25</v>
      </c>
    </row>
    <row r="403" spans="1:11" ht="36.75" x14ac:dyDescent="0.3">
      <c r="A403" s="22">
        <v>399</v>
      </c>
      <c r="B403" s="23" t="s">
        <v>22</v>
      </c>
      <c r="C403" s="24" t="str">
        <f t="shared" si="18"/>
        <v>140502</v>
      </c>
      <c r="D403" s="24" t="str">
        <f>"14.140502/2024.00560/BNC"</f>
        <v>14.140502/2024.00560/BNC</v>
      </c>
      <c r="E403" s="24" t="str">
        <f>"140502240560"</f>
        <v>140502240560</v>
      </c>
      <c r="F403" s="24" t="str">
        <f t="shared" si="17"/>
        <v>SILLA FIJA</v>
      </c>
      <c r="G403" s="24" t="s">
        <v>14</v>
      </c>
      <c r="H403" s="24" t="s">
        <v>15</v>
      </c>
      <c r="I403" s="25">
        <v>1</v>
      </c>
      <c r="J403" s="26" t="s">
        <v>16</v>
      </c>
      <c r="K403" s="10">
        <v>25</v>
      </c>
    </row>
    <row r="404" spans="1:11" ht="36.75" x14ac:dyDescent="0.3">
      <c r="A404" s="22">
        <v>400</v>
      </c>
      <c r="B404" s="23" t="s">
        <v>22</v>
      </c>
      <c r="C404" s="24" t="str">
        <f t="shared" si="18"/>
        <v>140502</v>
      </c>
      <c r="D404" s="24" t="str">
        <f>"14.140502/2024.00561/BNC"</f>
        <v>14.140502/2024.00561/BNC</v>
      </c>
      <c r="E404" s="24" t="str">
        <f>"140502240561"</f>
        <v>140502240561</v>
      </c>
      <c r="F404" s="24" t="str">
        <f t="shared" si="17"/>
        <v>SILLA FIJA</v>
      </c>
      <c r="G404" s="24" t="s">
        <v>14</v>
      </c>
      <c r="H404" s="24" t="s">
        <v>15</v>
      </c>
      <c r="I404" s="25">
        <v>1</v>
      </c>
      <c r="J404" s="26" t="s">
        <v>16</v>
      </c>
      <c r="K404" s="10">
        <v>25</v>
      </c>
    </row>
    <row r="405" spans="1:11" ht="36.75" x14ac:dyDescent="0.3">
      <c r="A405" s="22">
        <v>401</v>
      </c>
      <c r="B405" s="23" t="s">
        <v>22</v>
      </c>
      <c r="C405" s="24" t="str">
        <f t="shared" si="18"/>
        <v>140502</v>
      </c>
      <c r="D405" s="24" t="str">
        <f>"14.140502/2024.00562/BNC"</f>
        <v>14.140502/2024.00562/BNC</v>
      </c>
      <c r="E405" s="24" t="str">
        <f>"140502240562"</f>
        <v>140502240562</v>
      </c>
      <c r="F405" s="24" t="str">
        <f t="shared" si="17"/>
        <v>SILLA FIJA</v>
      </c>
      <c r="G405" s="24" t="s">
        <v>14</v>
      </c>
      <c r="H405" s="24" t="s">
        <v>15</v>
      </c>
      <c r="I405" s="25">
        <v>1</v>
      </c>
      <c r="J405" s="26" t="s">
        <v>16</v>
      </c>
      <c r="K405" s="10">
        <v>25</v>
      </c>
    </row>
    <row r="406" spans="1:11" ht="36.75" x14ac:dyDescent="0.3">
      <c r="A406" s="22">
        <v>402</v>
      </c>
      <c r="B406" s="23" t="s">
        <v>22</v>
      </c>
      <c r="C406" s="24" t="str">
        <f t="shared" si="18"/>
        <v>140502</v>
      </c>
      <c r="D406" s="24" t="str">
        <f>"14.140502/2024.00563/BNC"</f>
        <v>14.140502/2024.00563/BNC</v>
      </c>
      <c r="E406" s="24" t="str">
        <f>"140502240563"</f>
        <v>140502240563</v>
      </c>
      <c r="F406" s="24" t="str">
        <f t="shared" si="17"/>
        <v>SILLA FIJA</v>
      </c>
      <c r="G406" s="24" t="s">
        <v>14</v>
      </c>
      <c r="H406" s="24" t="s">
        <v>15</v>
      </c>
      <c r="I406" s="25">
        <v>1</v>
      </c>
      <c r="J406" s="26" t="s">
        <v>16</v>
      </c>
      <c r="K406" s="10">
        <v>25</v>
      </c>
    </row>
    <row r="407" spans="1:11" ht="36.75" x14ac:dyDescent="0.3">
      <c r="A407" s="22">
        <v>403</v>
      </c>
      <c r="B407" s="23" t="s">
        <v>22</v>
      </c>
      <c r="C407" s="24" t="str">
        <f t="shared" si="18"/>
        <v>140502</v>
      </c>
      <c r="D407" s="24" t="str">
        <f>"14.140502/2024.00564/BNC"</f>
        <v>14.140502/2024.00564/BNC</v>
      </c>
      <c r="E407" s="24" t="str">
        <f>"140502240564"</f>
        <v>140502240564</v>
      </c>
      <c r="F407" s="24" t="str">
        <f t="shared" si="17"/>
        <v>SILLA FIJA</v>
      </c>
      <c r="G407" s="24" t="s">
        <v>14</v>
      </c>
      <c r="H407" s="24" t="s">
        <v>15</v>
      </c>
      <c r="I407" s="25">
        <v>1</v>
      </c>
      <c r="J407" s="26" t="s">
        <v>16</v>
      </c>
      <c r="K407" s="10">
        <v>25</v>
      </c>
    </row>
    <row r="408" spans="1:11" ht="36.75" x14ac:dyDescent="0.3">
      <c r="A408" s="22">
        <v>404</v>
      </c>
      <c r="B408" s="23" t="s">
        <v>22</v>
      </c>
      <c r="C408" s="24" t="str">
        <f t="shared" si="18"/>
        <v>140502</v>
      </c>
      <c r="D408" s="24" t="str">
        <f>"14.140502/2024.00565/BNC"</f>
        <v>14.140502/2024.00565/BNC</v>
      </c>
      <c r="E408" s="24" t="str">
        <f>"140502240565"</f>
        <v>140502240565</v>
      </c>
      <c r="F408" s="24" t="str">
        <f t="shared" si="17"/>
        <v>SILLA FIJA</v>
      </c>
      <c r="G408" s="24" t="s">
        <v>14</v>
      </c>
      <c r="H408" s="24" t="s">
        <v>15</v>
      </c>
      <c r="I408" s="25">
        <v>1</v>
      </c>
      <c r="J408" s="26" t="s">
        <v>16</v>
      </c>
      <c r="K408" s="10">
        <v>25</v>
      </c>
    </row>
    <row r="409" spans="1:11" ht="36.75" x14ac:dyDescent="0.3">
      <c r="A409" s="22">
        <v>405</v>
      </c>
      <c r="B409" s="23" t="s">
        <v>22</v>
      </c>
      <c r="C409" s="24" t="str">
        <f t="shared" si="18"/>
        <v>140502</v>
      </c>
      <c r="D409" s="24" t="str">
        <f>"14.140502/2024.00566/BNC"</f>
        <v>14.140502/2024.00566/BNC</v>
      </c>
      <c r="E409" s="24" t="str">
        <f>"140502240566"</f>
        <v>140502240566</v>
      </c>
      <c r="F409" s="24" t="str">
        <f t="shared" si="17"/>
        <v>SILLA FIJA</v>
      </c>
      <c r="G409" s="24" t="s">
        <v>14</v>
      </c>
      <c r="H409" s="24" t="s">
        <v>15</v>
      </c>
      <c r="I409" s="25">
        <v>1</v>
      </c>
      <c r="J409" s="26" t="s">
        <v>16</v>
      </c>
      <c r="K409" s="10">
        <v>25</v>
      </c>
    </row>
    <row r="410" spans="1:11" ht="36.75" x14ac:dyDescent="0.3">
      <c r="A410" s="22">
        <v>406</v>
      </c>
      <c r="B410" s="23" t="s">
        <v>22</v>
      </c>
      <c r="C410" s="24" t="str">
        <f t="shared" si="18"/>
        <v>140502</v>
      </c>
      <c r="D410" s="24" t="str">
        <f>"14.140502/2024.00567/BNC"</f>
        <v>14.140502/2024.00567/BNC</v>
      </c>
      <c r="E410" s="24" t="str">
        <f>"140502240567"</f>
        <v>140502240567</v>
      </c>
      <c r="F410" s="24" t="str">
        <f t="shared" ref="F410:F430" si="19">"SILLA FIJA"</f>
        <v>SILLA FIJA</v>
      </c>
      <c r="G410" s="24" t="s">
        <v>14</v>
      </c>
      <c r="H410" s="24" t="s">
        <v>15</v>
      </c>
      <c r="I410" s="25">
        <v>1</v>
      </c>
      <c r="J410" s="26" t="s">
        <v>16</v>
      </c>
      <c r="K410" s="10">
        <v>25</v>
      </c>
    </row>
    <row r="411" spans="1:11" ht="36.75" x14ac:dyDescent="0.3">
      <c r="A411" s="22">
        <v>407</v>
      </c>
      <c r="B411" s="23" t="s">
        <v>22</v>
      </c>
      <c r="C411" s="24" t="str">
        <f t="shared" si="18"/>
        <v>140502</v>
      </c>
      <c r="D411" s="24" t="str">
        <f>"14.140502/2024.00568/BNC"</f>
        <v>14.140502/2024.00568/BNC</v>
      </c>
      <c r="E411" s="24" t="str">
        <f>"140502240568"</f>
        <v>140502240568</v>
      </c>
      <c r="F411" s="24" t="str">
        <f t="shared" si="19"/>
        <v>SILLA FIJA</v>
      </c>
      <c r="G411" s="24" t="s">
        <v>14</v>
      </c>
      <c r="H411" s="24" t="s">
        <v>15</v>
      </c>
      <c r="I411" s="25">
        <v>1</v>
      </c>
      <c r="J411" s="26" t="s">
        <v>16</v>
      </c>
      <c r="K411" s="10">
        <v>25</v>
      </c>
    </row>
    <row r="412" spans="1:11" ht="36.75" x14ac:dyDescent="0.3">
      <c r="A412" s="22">
        <v>408</v>
      </c>
      <c r="B412" s="23" t="s">
        <v>22</v>
      </c>
      <c r="C412" s="24" t="str">
        <f t="shared" si="18"/>
        <v>140502</v>
      </c>
      <c r="D412" s="24" t="str">
        <f>"14.140502/2024.00569/BNC"</f>
        <v>14.140502/2024.00569/BNC</v>
      </c>
      <c r="E412" s="24" t="str">
        <f>"140502240569"</f>
        <v>140502240569</v>
      </c>
      <c r="F412" s="24" t="str">
        <f t="shared" si="19"/>
        <v>SILLA FIJA</v>
      </c>
      <c r="G412" s="24" t="s">
        <v>14</v>
      </c>
      <c r="H412" s="24" t="s">
        <v>15</v>
      </c>
      <c r="I412" s="25">
        <v>1</v>
      </c>
      <c r="J412" s="26" t="s">
        <v>16</v>
      </c>
      <c r="K412" s="10">
        <v>25</v>
      </c>
    </row>
    <row r="413" spans="1:11" ht="36.75" x14ac:dyDescent="0.3">
      <c r="A413" s="22">
        <v>409</v>
      </c>
      <c r="B413" s="23" t="s">
        <v>22</v>
      </c>
      <c r="C413" s="24" t="str">
        <f t="shared" si="18"/>
        <v>140502</v>
      </c>
      <c r="D413" s="24" t="str">
        <f>"14.140502/2024.00570/BNC"</f>
        <v>14.140502/2024.00570/BNC</v>
      </c>
      <c r="E413" s="24" t="str">
        <f>"140502240570"</f>
        <v>140502240570</v>
      </c>
      <c r="F413" s="24" t="str">
        <f t="shared" si="19"/>
        <v>SILLA FIJA</v>
      </c>
      <c r="G413" s="24" t="s">
        <v>14</v>
      </c>
      <c r="H413" s="24" t="s">
        <v>15</v>
      </c>
      <c r="I413" s="25">
        <v>1</v>
      </c>
      <c r="J413" s="26" t="s">
        <v>16</v>
      </c>
      <c r="K413" s="10">
        <v>25</v>
      </c>
    </row>
    <row r="414" spans="1:11" ht="36.75" x14ac:dyDescent="0.3">
      <c r="A414" s="22">
        <v>410</v>
      </c>
      <c r="B414" s="23" t="s">
        <v>22</v>
      </c>
      <c r="C414" s="24" t="str">
        <f t="shared" si="18"/>
        <v>140502</v>
      </c>
      <c r="D414" s="24" t="str">
        <f>"14.140502/2024.00571/BNC"</f>
        <v>14.140502/2024.00571/BNC</v>
      </c>
      <c r="E414" s="24" t="str">
        <f>"140502240571"</f>
        <v>140502240571</v>
      </c>
      <c r="F414" s="24" t="str">
        <f t="shared" si="19"/>
        <v>SILLA FIJA</v>
      </c>
      <c r="G414" s="24" t="s">
        <v>14</v>
      </c>
      <c r="H414" s="24" t="s">
        <v>15</v>
      </c>
      <c r="I414" s="25">
        <v>1</v>
      </c>
      <c r="J414" s="26" t="s">
        <v>16</v>
      </c>
      <c r="K414" s="10">
        <v>25</v>
      </c>
    </row>
    <row r="415" spans="1:11" ht="36.75" x14ac:dyDescent="0.3">
      <c r="A415" s="22">
        <v>411</v>
      </c>
      <c r="B415" s="23" t="s">
        <v>22</v>
      </c>
      <c r="C415" s="24" t="str">
        <f t="shared" si="18"/>
        <v>140502</v>
      </c>
      <c r="D415" s="24" t="str">
        <f>"14.140502/2024.00572/BNC"</f>
        <v>14.140502/2024.00572/BNC</v>
      </c>
      <c r="E415" s="24" t="str">
        <f>"140502240572"</f>
        <v>140502240572</v>
      </c>
      <c r="F415" s="24" t="str">
        <f t="shared" si="19"/>
        <v>SILLA FIJA</v>
      </c>
      <c r="G415" s="24" t="s">
        <v>14</v>
      </c>
      <c r="H415" s="24" t="s">
        <v>15</v>
      </c>
      <c r="I415" s="25">
        <v>1</v>
      </c>
      <c r="J415" s="26" t="s">
        <v>16</v>
      </c>
      <c r="K415" s="10">
        <v>25</v>
      </c>
    </row>
    <row r="416" spans="1:11" ht="36.75" x14ac:dyDescent="0.3">
      <c r="A416" s="22">
        <v>412</v>
      </c>
      <c r="B416" s="23" t="s">
        <v>22</v>
      </c>
      <c r="C416" s="24" t="str">
        <f t="shared" si="18"/>
        <v>140502</v>
      </c>
      <c r="D416" s="24" t="str">
        <f>"14.140502/2024.00573/BNC"</f>
        <v>14.140502/2024.00573/BNC</v>
      </c>
      <c r="E416" s="24" t="str">
        <f>"140502240573"</f>
        <v>140502240573</v>
      </c>
      <c r="F416" s="24" t="str">
        <f t="shared" si="19"/>
        <v>SILLA FIJA</v>
      </c>
      <c r="G416" s="24" t="s">
        <v>14</v>
      </c>
      <c r="H416" s="24" t="s">
        <v>15</v>
      </c>
      <c r="I416" s="25">
        <v>1</v>
      </c>
      <c r="J416" s="26" t="s">
        <v>16</v>
      </c>
      <c r="K416" s="10">
        <v>25</v>
      </c>
    </row>
    <row r="417" spans="1:11" ht="36.75" x14ac:dyDescent="0.3">
      <c r="A417" s="22">
        <v>413</v>
      </c>
      <c r="B417" s="23" t="s">
        <v>22</v>
      </c>
      <c r="C417" s="24" t="str">
        <f t="shared" si="18"/>
        <v>140502</v>
      </c>
      <c r="D417" s="24" t="str">
        <f>"14.140502/2024.00574/BNC"</f>
        <v>14.140502/2024.00574/BNC</v>
      </c>
      <c r="E417" s="24" t="str">
        <f>"140502240574"</f>
        <v>140502240574</v>
      </c>
      <c r="F417" s="24" t="str">
        <f t="shared" si="19"/>
        <v>SILLA FIJA</v>
      </c>
      <c r="G417" s="24" t="s">
        <v>14</v>
      </c>
      <c r="H417" s="24" t="s">
        <v>15</v>
      </c>
      <c r="I417" s="25">
        <v>1</v>
      </c>
      <c r="J417" s="26" t="s">
        <v>16</v>
      </c>
      <c r="K417" s="10">
        <v>25</v>
      </c>
    </row>
    <row r="418" spans="1:11" ht="36.75" x14ac:dyDescent="0.3">
      <c r="A418" s="22">
        <v>414</v>
      </c>
      <c r="B418" s="23" t="s">
        <v>22</v>
      </c>
      <c r="C418" s="24" t="str">
        <f t="shared" si="18"/>
        <v>140502</v>
      </c>
      <c r="D418" s="24" t="str">
        <f>"14.140502/2024.00575/BNC"</f>
        <v>14.140502/2024.00575/BNC</v>
      </c>
      <c r="E418" s="24" t="str">
        <f>"140502240575"</f>
        <v>140502240575</v>
      </c>
      <c r="F418" s="24" t="str">
        <f t="shared" si="19"/>
        <v>SILLA FIJA</v>
      </c>
      <c r="G418" s="24" t="s">
        <v>14</v>
      </c>
      <c r="H418" s="24" t="s">
        <v>15</v>
      </c>
      <c r="I418" s="25">
        <v>1</v>
      </c>
      <c r="J418" s="26" t="s">
        <v>16</v>
      </c>
      <c r="K418" s="10">
        <v>25</v>
      </c>
    </row>
    <row r="419" spans="1:11" ht="36.75" x14ac:dyDescent="0.3">
      <c r="A419" s="22">
        <v>415</v>
      </c>
      <c r="B419" s="23" t="s">
        <v>22</v>
      </c>
      <c r="C419" s="24" t="str">
        <f t="shared" si="18"/>
        <v>140502</v>
      </c>
      <c r="D419" s="24" t="str">
        <f>"14.140502/2024.00576/BNC"</f>
        <v>14.140502/2024.00576/BNC</v>
      </c>
      <c r="E419" s="24" t="str">
        <f>"140502240576"</f>
        <v>140502240576</v>
      </c>
      <c r="F419" s="24" t="str">
        <f t="shared" si="19"/>
        <v>SILLA FIJA</v>
      </c>
      <c r="G419" s="24" t="s">
        <v>14</v>
      </c>
      <c r="H419" s="24" t="s">
        <v>15</v>
      </c>
      <c r="I419" s="25">
        <v>1</v>
      </c>
      <c r="J419" s="26" t="s">
        <v>16</v>
      </c>
      <c r="K419" s="10">
        <v>25</v>
      </c>
    </row>
    <row r="420" spans="1:11" ht="36.75" x14ac:dyDescent="0.3">
      <c r="A420" s="22">
        <v>416</v>
      </c>
      <c r="B420" s="23" t="s">
        <v>22</v>
      </c>
      <c r="C420" s="24" t="str">
        <f t="shared" si="18"/>
        <v>140502</v>
      </c>
      <c r="D420" s="24" t="str">
        <f>"14.140502/2024.00577/BNC"</f>
        <v>14.140502/2024.00577/BNC</v>
      </c>
      <c r="E420" s="24" t="str">
        <f>"140502240577"</f>
        <v>140502240577</v>
      </c>
      <c r="F420" s="24" t="str">
        <f t="shared" si="19"/>
        <v>SILLA FIJA</v>
      </c>
      <c r="G420" s="24" t="s">
        <v>14</v>
      </c>
      <c r="H420" s="24" t="s">
        <v>15</v>
      </c>
      <c r="I420" s="25">
        <v>1</v>
      </c>
      <c r="J420" s="26" t="s">
        <v>16</v>
      </c>
      <c r="K420" s="10">
        <v>25</v>
      </c>
    </row>
    <row r="421" spans="1:11" ht="36.75" x14ac:dyDescent="0.3">
      <c r="A421" s="22">
        <v>417</v>
      </c>
      <c r="B421" s="23" t="s">
        <v>22</v>
      </c>
      <c r="C421" s="24" t="str">
        <f t="shared" si="18"/>
        <v>140502</v>
      </c>
      <c r="D421" s="24" t="str">
        <f>"14.140502/2024.00578/BNC"</f>
        <v>14.140502/2024.00578/BNC</v>
      </c>
      <c r="E421" s="24" t="str">
        <f>"140502240578"</f>
        <v>140502240578</v>
      </c>
      <c r="F421" s="24" t="str">
        <f t="shared" si="19"/>
        <v>SILLA FIJA</v>
      </c>
      <c r="G421" s="24" t="s">
        <v>14</v>
      </c>
      <c r="H421" s="24" t="s">
        <v>15</v>
      </c>
      <c r="I421" s="25">
        <v>1</v>
      </c>
      <c r="J421" s="26" t="s">
        <v>16</v>
      </c>
      <c r="K421" s="10">
        <v>25</v>
      </c>
    </row>
    <row r="422" spans="1:11" ht="36.75" x14ac:dyDescent="0.3">
      <c r="A422" s="22">
        <v>418</v>
      </c>
      <c r="B422" s="23" t="s">
        <v>22</v>
      </c>
      <c r="C422" s="24" t="str">
        <f t="shared" si="18"/>
        <v>140502</v>
      </c>
      <c r="D422" s="24" t="str">
        <f>"14.140502/2024.00579/BNC"</f>
        <v>14.140502/2024.00579/BNC</v>
      </c>
      <c r="E422" s="24" t="str">
        <f>"140502240579"</f>
        <v>140502240579</v>
      </c>
      <c r="F422" s="24" t="str">
        <f t="shared" si="19"/>
        <v>SILLA FIJA</v>
      </c>
      <c r="G422" s="24" t="s">
        <v>14</v>
      </c>
      <c r="H422" s="24" t="s">
        <v>15</v>
      </c>
      <c r="I422" s="25">
        <v>1</v>
      </c>
      <c r="J422" s="26" t="s">
        <v>16</v>
      </c>
      <c r="K422" s="10">
        <v>25</v>
      </c>
    </row>
    <row r="423" spans="1:11" ht="36.75" x14ac:dyDescent="0.3">
      <c r="A423" s="22">
        <v>419</v>
      </c>
      <c r="B423" s="23" t="s">
        <v>22</v>
      </c>
      <c r="C423" s="24" t="str">
        <f t="shared" si="18"/>
        <v>140502</v>
      </c>
      <c r="D423" s="24" t="str">
        <f>"14.140502/2024.00580/BNC"</f>
        <v>14.140502/2024.00580/BNC</v>
      </c>
      <c r="E423" s="24" t="str">
        <f>"140502240580"</f>
        <v>140502240580</v>
      </c>
      <c r="F423" s="24" t="str">
        <f t="shared" si="19"/>
        <v>SILLA FIJA</v>
      </c>
      <c r="G423" s="24" t="s">
        <v>14</v>
      </c>
      <c r="H423" s="24" t="s">
        <v>15</v>
      </c>
      <c r="I423" s="25">
        <v>1</v>
      </c>
      <c r="J423" s="26" t="s">
        <v>16</v>
      </c>
      <c r="K423" s="10">
        <v>25</v>
      </c>
    </row>
    <row r="424" spans="1:11" ht="36.75" x14ac:dyDescent="0.3">
      <c r="A424" s="22">
        <v>420</v>
      </c>
      <c r="B424" s="23" t="s">
        <v>22</v>
      </c>
      <c r="C424" s="24" t="str">
        <f t="shared" si="18"/>
        <v>140502</v>
      </c>
      <c r="D424" s="24" t="str">
        <f>"14.140502/2024.00581/BNC"</f>
        <v>14.140502/2024.00581/BNC</v>
      </c>
      <c r="E424" s="24" t="str">
        <f>"140502240581"</f>
        <v>140502240581</v>
      </c>
      <c r="F424" s="24" t="str">
        <f t="shared" si="19"/>
        <v>SILLA FIJA</v>
      </c>
      <c r="G424" s="24" t="s">
        <v>14</v>
      </c>
      <c r="H424" s="24" t="s">
        <v>15</v>
      </c>
      <c r="I424" s="25">
        <v>1</v>
      </c>
      <c r="J424" s="26" t="s">
        <v>16</v>
      </c>
      <c r="K424" s="10">
        <v>25</v>
      </c>
    </row>
    <row r="425" spans="1:11" ht="36.75" x14ac:dyDescent="0.3">
      <c r="A425" s="22">
        <v>421</v>
      </c>
      <c r="B425" s="23" t="s">
        <v>22</v>
      </c>
      <c r="C425" s="24" t="str">
        <f t="shared" si="18"/>
        <v>140502</v>
      </c>
      <c r="D425" s="24" t="str">
        <f>"14.140502/2024.00582/BNC"</f>
        <v>14.140502/2024.00582/BNC</v>
      </c>
      <c r="E425" s="24" t="str">
        <f>"140502240582"</f>
        <v>140502240582</v>
      </c>
      <c r="F425" s="24" t="str">
        <f t="shared" si="19"/>
        <v>SILLA FIJA</v>
      </c>
      <c r="G425" s="24" t="s">
        <v>14</v>
      </c>
      <c r="H425" s="24" t="s">
        <v>15</v>
      </c>
      <c r="I425" s="25">
        <v>1</v>
      </c>
      <c r="J425" s="26" t="s">
        <v>16</v>
      </c>
      <c r="K425" s="10">
        <v>25</v>
      </c>
    </row>
    <row r="426" spans="1:11" ht="36.75" x14ac:dyDescent="0.3">
      <c r="A426" s="22">
        <v>422</v>
      </c>
      <c r="B426" s="23" t="s">
        <v>22</v>
      </c>
      <c r="C426" s="24" t="str">
        <f t="shared" si="18"/>
        <v>140502</v>
      </c>
      <c r="D426" s="24" t="str">
        <f>"14.140502/2024.00583/BNC"</f>
        <v>14.140502/2024.00583/BNC</v>
      </c>
      <c r="E426" s="24" t="str">
        <f>"140502240583"</f>
        <v>140502240583</v>
      </c>
      <c r="F426" s="24" t="str">
        <f t="shared" si="19"/>
        <v>SILLA FIJA</v>
      </c>
      <c r="G426" s="24" t="s">
        <v>14</v>
      </c>
      <c r="H426" s="24" t="s">
        <v>15</v>
      </c>
      <c r="I426" s="25">
        <v>1</v>
      </c>
      <c r="J426" s="26" t="s">
        <v>16</v>
      </c>
      <c r="K426" s="10">
        <v>25</v>
      </c>
    </row>
    <row r="427" spans="1:11" ht="36.75" x14ac:dyDescent="0.3">
      <c r="A427" s="22">
        <v>423</v>
      </c>
      <c r="B427" s="23" t="s">
        <v>22</v>
      </c>
      <c r="C427" s="24" t="str">
        <f t="shared" si="18"/>
        <v>140502</v>
      </c>
      <c r="D427" s="24" t="str">
        <f>"14.140502/2024.00584/BNC"</f>
        <v>14.140502/2024.00584/BNC</v>
      </c>
      <c r="E427" s="24" t="str">
        <f>"140502240584"</f>
        <v>140502240584</v>
      </c>
      <c r="F427" s="24" t="str">
        <f t="shared" si="19"/>
        <v>SILLA FIJA</v>
      </c>
      <c r="G427" s="24" t="s">
        <v>14</v>
      </c>
      <c r="H427" s="24" t="s">
        <v>15</v>
      </c>
      <c r="I427" s="25">
        <v>1</v>
      </c>
      <c r="J427" s="26" t="s">
        <v>16</v>
      </c>
      <c r="K427" s="10">
        <v>25</v>
      </c>
    </row>
    <row r="428" spans="1:11" ht="36.75" x14ac:dyDescent="0.3">
      <c r="A428" s="22">
        <v>424</v>
      </c>
      <c r="B428" s="23" t="s">
        <v>22</v>
      </c>
      <c r="C428" s="24" t="str">
        <f t="shared" si="18"/>
        <v>140502</v>
      </c>
      <c r="D428" s="24" t="str">
        <f>"14.140502/2024.00585/BNC"</f>
        <v>14.140502/2024.00585/BNC</v>
      </c>
      <c r="E428" s="24" t="str">
        <f>"140502240585"</f>
        <v>140502240585</v>
      </c>
      <c r="F428" s="24" t="str">
        <f t="shared" si="19"/>
        <v>SILLA FIJA</v>
      </c>
      <c r="G428" s="24" t="s">
        <v>14</v>
      </c>
      <c r="H428" s="24" t="s">
        <v>15</v>
      </c>
      <c r="I428" s="25">
        <v>1</v>
      </c>
      <c r="J428" s="26" t="s">
        <v>16</v>
      </c>
      <c r="K428" s="10">
        <v>25</v>
      </c>
    </row>
    <row r="429" spans="1:11" ht="36.75" x14ac:dyDescent="0.3">
      <c r="A429" s="22">
        <v>425</v>
      </c>
      <c r="B429" s="23" t="s">
        <v>22</v>
      </c>
      <c r="C429" s="24" t="str">
        <f t="shared" si="18"/>
        <v>140502</v>
      </c>
      <c r="D429" s="24" t="str">
        <f>"14.140502/2024.00586/BNC"</f>
        <v>14.140502/2024.00586/BNC</v>
      </c>
      <c r="E429" s="24" t="str">
        <f>"140502240586"</f>
        <v>140502240586</v>
      </c>
      <c r="F429" s="24" t="str">
        <f t="shared" si="19"/>
        <v>SILLA FIJA</v>
      </c>
      <c r="G429" s="24" t="s">
        <v>14</v>
      </c>
      <c r="H429" s="24" t="s">
        <v>15</v>
      </c>
      <c r="I429" s="25">
        <v>1</v>
      </c>
      <c r="J429" s="26" t="s">
        <v>16</v>
      </c>
      <c r="K429" s="10">
        <v>25</v>
      </c>
    </row>
    <row r="430" spans="1:11" ht="36.75" x14ac:dyDescent="0.3">
      <c r="A430" s="22">
        <v>426</v>
      </c>
      <c r="B430" s="23" t="s">
        <v>22</v>
      </c>
      <c r="C430" s="24" t="str">
        <f t="shared" si="18"/>
        <v>140502</v>
      </c>
      <c r="D430" s="24" t="str">
        <f>"14.140502/2024.00587/BNC"</f>
        <v>14.140502/2024.00587/BNC</v>
      </c>
      <c r="E430" s="24" t="str">
        <f>"140502240587"</f>
        <v>140502240587</v>
      </c>
      <c r="F430" s="24" t="str">
        <f t="shared" si="19"/>
        <v>SILLA FIJA</v>
      </c>
      <c r="G430" s="24" t="s">
        <v>14</v>
      </c>
      <c r="H430" s="24" t="s">
        <v>15</v>
      </c>
      <c r="I430" s="25">
        <v>1</v>
      </c>
      <c r="J430" s="26" t="s">
        <v>16</v>
      </c>
      <c r="K430" s="10">
        <v>25</v>
      </c>
    </row>
    <row r="431" spans="1:11" ht="36.75" x14ac:dyDescent="0.3">
      <c r="A431" s="22">
        <v>427</v>
      </c>
      <c r="B431" s="28" t="s">
        <v>23</v>
      </c>
      <c r="C431" s="24" t="s">
        <v>24</v>
      </c>
      <c r="D431" s="24" t="s">
        <v>25</v>
      </c>
      <c r="E431" s="24" t="s">
        <v>26</v>
      </c>
      <c r="F431" s="24" t="s">
        <v>27</v>
      </c>
      <c r="G431" s="24" t="s">
        <v>14</v>
      </c>
      <c r="H431" s="24" t="s">
        <v>15</v>
      </c>
      <c r="I431" s="27">
        <v>1</v>
      </c>
      <c r="J431" s="26" t="s">
        <v>16</v>
      </c>
      <c r="K431" s="10">
        <v>25</v>
      </c>
    </row>
    <row r="432" spans="1:11" ht="36.75" x14ac:dyDescent="0.3">
      <c r="A432" s="22">
        <v>428</v>
      </c>
      <c r="B432" s="28" t="s">
        <v>23</v>
      </c>
      <c r="C432" s="24" t="s">
        <v>24</v>
      </c>
      <c r="D432" s="24" t="s">
        <v>28</v>
      </c>
      <c r="E432" s="24" t="s">
        <v>29</v>
      </c>
      <c r="F432" s="24" t="s">
        <v>27</v>
      </c>
      <c r="G432" s="24" t="s">
        <v>14</v>
      </c>
      <c r="H432" s="24" t="s">
        <v>15</v>
      </c>
      <c r="I432" s="27">
        <v>1</v>
      </c>
      <c r="J432" s="26" t="s">
        <v>16</v>
      </c>
      <c r="K432" s="10">
        <v>25</v>
      </c>
    </row>
    <row r="433" spans="1:11" ht="36.75" x14ac:dyDescent="0.3">
      <c r="A433" s="22">
        <v>429</v>
      </c>
      <c r="B433" s="28" t="s">
        <v>23</v>
      </c>
      <c r="C433" s="24" t="s">
        <v>24</v>
      </c>
      <c r="D433" s="24" t="s">
        <v>30</v>
      </c>
      <c r="E433" s="24" t="s">
        <v>31</v>
      </c>
      <c r="F433" s="24" t="s">
        <v>27</v>
      </c>
      <c r="G433" s="24" t="s">
        <v>14</v>
      </c>
      <c r="H433" s="24" t="s">
        <v>15</v>
      </c>
      <c r="I433" s="27">
        <v>1</v>
      </c>
      <c r="J433" s="26" t="s">
        <v>16</v>
      </c>
      <c r="K433" s="10">
        <v>25</v>
      </c>
    </row>
    <row r="434" spans="1:11" ht="36.75" x14ac:dyDescent="0.3">
      <c r="A434" s="29">
        <v>430</v>
      </c>
      <c r="B434" s="30" t="s">
        <v>23</v>
      </c>
      <c r="C434" s="31" t="s">
        <v>24</v>
      </c>
      <c r="D434" s="31" t="s">
        <v>32</v>
      </c>
      <c r="E434" s="31" t="s">
        <v>33</v>
      </c>
      <c r="F434" s="31" t="s">
        <v>27</v>
      </c>
      <c r="G434" s="31" t="s">
        <v>14</v>
      </c>
      <c r="H434" s="31" t="s">
        <v>15</v>
      </c>
      <c r="I434" s="32">
        <v>1</v>
      </c>
      <c r="J434" s="26" t="s">
        <v>16</v>
      </c>
      <c r="K434" s="10">
        <v>25</v>
      </c>
    </row>
    <row r="435" spans="1:11" ht="36.75" x14ac:dyDescent="0.3">
      <c r="A435" s="33">
        <v>431</v>
      </c>
      <c r="B435" s="34" t="s">
        <v>23</v>
      </c>
      <c r="C435" s="35" t="s">
        <v>24</v>
      </c>
      <c r="D435" s="35" t="s">
        <v>34</v>
      </c>
      <c r="E435" s="35" t="s">
        <v>35</v>
      </c>
      <c r="F435" s="35" t="s">
        <v>36</v>
      </c>
      <c r="G435" s="35" t="s">
        <v>14</v>
      </c>
      <c r="H435" s="35" t="s">
        <v>15</v>
      </c>
      <c r="I435" s="36">
        <v>1</v>
      </c>
      <c r="J435" s="37" t="s">
        <v>37</v>
      </c>
      <c r="K435" s="11">
        <v>8000</v>
      </c>
    </row>
    <row r="436" spans="1:11" ht="36.75" x14ac:dyDescent="0.3">
      <c r="A436" s="38">
        <v>432</v>
      </c>
      <c r="B436" s="39" t="s">
        <v>23</v>
      </c>
      <c r="C436" s="40" t="s">
        <v>24</v>
      </c>
      <c r="D436" s="40" t="s">
        <v>38</v>
      </c>
      <c r="E436" s="40" t="s">
        <v>39</v>
      </c>
      <c r="F436" s="40" t="s">
        <v>40</v>
      </c>
      <c r="G436" s="40" t="s">
        <v>14</v>
      </c>
      <c r="H436" s="40" t="s">
        <v>15</v>
      </c>
      <c r="I436" s="41">
        <v>1</v>
      </c>
      <c r="J436" s="42" t="s">
        <v>16</v>
      </c>
      <c r="K436" s="10">
        <v>25</v>
      </c>
    </row>
    <row r="437" spans="1:11" ht="36.75" x14ac:dyDescent="0.3">
      <c r="A437" s="22">
        <v>433</v>
      </c>
      <c r="B437" s="28" t="s">
        <v>23</v>
      </c>
      <c r="C437" s="24" t="s">
        <v>24</v>
      </c>
      <c r="D437" s="24" t="s">
        <v>41</v>
      </c>
      <c r="E437" s="24" t="s">
        <v>42</v>
      </c>
      <c r="F437" s="24" t="s">
        <v>43</v>
      </c>
      <c r="G437" s="24" t="s">
        <v>14</v>
      </c>
      <c r="H437" s="24" t="s">
        <v>15</v>
      </c>
      <c r="I437" s="27">
        <v>1</v>
      </c>
      <c r="J437" s="42" t="s">
        <v>16</v>
      </c>
      <c r="K437" s="10">
        <v>50</v>
      </c>
    </row>
    <row r="438" spans="1:11" ht="36.75" x14ac:dyDescent="0.3">
      <c r="A438" s="22">
        <v>434</v>
      </c>
      <c r="B438" s="28" t="s">
        <v>23</v>
      </c>
      <c r="C438" s="24" t="s">
        <v>24</v>
      </c>
      <c r="D438" s="24" t="s">
        <v>44</v>
      </c>
      <c r="E438" s="24" t="s">
        <v>45</v>
      </c>
      <c r="F438" s="24" t="s">
        <v>46</v>
      </c>
      <c r="G438" s="24" t="s">
        <v>14</v>
      </c>
      <c r="H438" s="24" t="s">
        <v>15</v>
      </c>
      <c r="I438" s="27">
        <v>1</v>
      </c>
      <c r="J438" s="42" t="s">
        <v>16</v>
      </c>
      <c r="K438" s="10">
        <v>30</v>
      </c>
    </row>
    <row r="439" spans="1:11" ht="36.75" x14ac:dyDescent="0.3">
      <c r="A439" s="22">
        <v>435</v>
      </c>
      <c r="B439" s="28" t="s">
        <v>23</v>
      </c>
      <c r="C439" s="24" t="s">
        <v>24</v>
      </c>
      <c r="D439" s="24" t="s">
        <v>47</v>
      </c>
      <c r="E439" s="24" t="s">
        <v>48</v>
      </c>
      <c r="F439" s="24" t="s">
        <v>46</v>
      </c>
      <c r="G439" s="24" t="s">
        <v>14</v>
      </c>
      <c r="H439" s="24" t="s">
        <v>15</v>
      </c>
      <c r="I439" s="27">
        <v>1</v>
      </c>
      <c r="J439" s="42" t="s">
        <v>16</v>
      </c>
      <c r="K439" s="10">
        <v>30</v>
      </c>
    </row>
    <row r="440" spans="1:11" ht="36.75" x14ac:dyDescent="0.3">
      <c r="A440" s="22">
        <v>436</v>
      </c>
      <c r="B440" s="28" t="s">
        <v>23</v>
      </c>
      <c r="C440" s="24" t="s">
        <v>24</v>
      </c>
      <c r="D440" s="24" t="s">
        <v>49</v>
      </c>
      <c r="E440" s="24" t="s">
        <v>50</v>
      </c>
      <c r="F440" s="24" t="s">
        <v>46</v>
      </c>
      <c r="G440" s="24" t="s">
        <v>14</v>
      </c>
      <c r="H440" s="24" t="s">
        <v>15</v>
      </c>
      <c r="I440" s="27">
        <v>1</v>
      </c>
      <c r="J440" s="42" t="s">
        <v>16</v>
      </c>
      <c r="K440" s="10">
        <v>30</v>
      </c>
    </row>
    <row r="441" spans="1:11" ht="36.75" x14ac:dyDescent="0.3">
      <c r="A441" s="22">
        <v>437</v>
      </c>
      <c r="B441" s="28" t="s">
        <v>23</v>
      </c>
      <c r="C441" s="24" t="s">
        <v>24</v>
      </c>
      <c r="D441" s="24" t="s">
        <v>51</v>
      </c>
      <c r="E441" s="24" t="s">
        <v>52</v>
      </c>
      <c r="F441" s="24" t="s">
        <v>27</v>
      </c>
      <c r="G441" s="24" t="s">
        <v>14</v>
      </c>
      <c r="H441" s="24" t="s">
        <v>15</v>
      </c>
      <c r="I441" s="27">
        <v>1</v>
      </c>
      <c r="J441" s="42" t="s">
        <v>16</v>
      </c>
      <c r="K441" s="10">
        <v>25</v>
      </c>
    </row>
    <row r="442" spans="1:11" ht="36.75" x14ac:dyDescent="0.3">
      <c r="A442" s="22">
        <v>438</v>
      </c>
      <c r="B442" s="28" t="s">
        <v>23</v>
      </c>
      <c r="C442" s="24" t="s">
        <v>24</v>
      </c>
      <c r="D442" s="24" t="s">
        <v>53</v>
      </c>
      <c r="E442" s="24" t="s">
        <v>54</v>
      </c>
      <c r="F442" s="24" t="s">
        <v>27</v>
      </c>
      <c r="G442" s="24" t="s">
        <v>14</v>
      </c>
      <c r="H442" s="24" t="s">
        <v>15</v>
      </c>
      <c r="I442" s="27">
        <v>1</v>
      </c>
      <c r="J442" s="42" t="s">
        <v>16</v>
      </c>
      <c r="K442" s="10">
        <v>25</v>
      </c>
    </row>
    <row r="443" spans="1:11" ht="36.75" x14ac:dyDescent="0.3">
      <c r="A443" s="22">
        <v>439</v>
      </c>
      <c r="B443" s="28" t="s">
        <v>23</v>
      </c>
      <c r="C443" s="24" t="s">
        <v>24</v>
      </c>
      <c r="D443" s="24" t="s">
        <v>55</v>
      </c>
      <c r="E443" s="24" t="s">
        <v>56</v>
      </c>
      <c r="F443" s="24" t="s">
        <v>27</v>
      </c>
      <c r="G443" s="24" t="s">
        <v>14</v>
      </c>
      <c r="H443" s="24" t="s">
        <v>15</v>
      </c>
      <c r="I443" s="27">
        <v>1</v>
      </c>
      <c r="J443" s="42" t="s">
        <v>16</v>
      </c>
      <c r="K443" s="10">
        <v>25</v>
      </c>
    </row>
    <row r="444" spans="1:11" ht="36.75" x14ac:dyDescent="0.3">
      <c r="A444" s="22">
        <v>440</v>
      </c>
      <c r="B444" s="28" t="s">
        <v>23</v>
      </c>
      <c r="C444" s="24" t="s">
        <v>24</v>
      </c>
      <c r="D444" s="24" t="s">
        <v>57</v>
      </c>
      <c r="E444" s="24" t="s">
        <v>58</v>
      </c>
      <c r="F444" s="24" t="s">
        <v>27</v>
      </c>
      <c r="G444" s="24" t="s">
        <v>14</v>
      </c>
      <c r="H444" s="24" t="s">
        <v>15</v>
      </c>
      <c r="I444" s="27">
        <v>1</v>
      </c>
      <c r="J444" s="42" t="s">
        <v>16</v>
      </c>
      <c r="K444" s="10">
        <v>25</v>
      </c>
    </row>
    <row r="445" spans="1:11" ht="36.75" x14ac:dyDescent="0.3">
      <c r="A445" s="22">
        <v>441</v>
      </c>
      <c r="B445" s="28" t="s">
        <v>23</v>
      </c>
      <c r="C445" s="24" t="s">
        <v>24</v>
      </c>
      <c r="D445" s="24" t="s">
        <v>59</v>
      </c>
      <c r="E445" s="24" t="s">
        <v>60</v>
      </c>
      <c r="F445" s="24" t="s">
        <v>27</v>
      </c>
      <c r="G445" s="24" t="s">
        <v>14</v>
      </c>
      <c r="H445" s="24" t="s">
        <v>15</v>
      </c>
      <c r="I445" s="27">
        <v>1</v>
      </c>
      <c r="J445" s="42" t="s">
        <v>16</v>
      </c>
      <c r="K445" s="10">
        <v>25</v>
      </c>
    </row>
    <row r="446" spans="1:11" ht="36.75" x14ac:dyDescent="0.3">
      <c r="A446" s="22">
        <v>442</v>
      </c>
      <c r="B446" s="28" t="s">
        <v>23</v>
      </c>
      <c r="C446" s="24" t="s">
        <v>24</v>
      </c>
      <c r="D446" s="24" t="s">
        <v>61</v>
      </c>
      <c r="E446" s="24" t="s">
        <v>62</v>
      </c>
      <c r="F446" s="24" t="s">
        <v>63</v>
      </c>
      <c r="G446" s="24" t="s">
        <v>14</v>
      </c>
      <c r="H446" s="24" t="s">
        <v>15</v>
      </c>
      <c r="I446" s="27">
        <v>1</v>
      </c>
      <c r="J446" s="42" t="s">
        <v>16</v>
      </c>
      <c r="K446" s="10">
        <v>30</v>
      </c>
    </row>
    <row r="447" spans="1:11" ht="36.75" x14ac:dyDescent="0.3">
      <c r="A447" s="22">
        <v>443</v>
      </c>
      <c r="B447" s="28" t="s">
        <v>23</v>
      </c>
      <c r="C447" s="24" t="s">
        <v>24</v>
      </c>
      <c r="D447" s="24" t="s">
        <v>64</v>
      </c>
      <c r="E447" s="24" t="s">
        <v>65</v>
      </c>
      <c r="F447" s="24" t="s">
        <v>66</v>
      </c>
      <c r="G447" s="24" t="s">
        <v>14</v>
      </c>
      <c r="H447" s="24" t="s">
        <v>15</v>
      </c>
      <c r="I447" s="27">
        <v>1</v>
      </c>
      <c r="J447" s="42" t="s">
        <v>16</v>
      </c>
      <c r="K447" s="10">
        <v>20</v>
      </c>
    </row>
    <row r="448" spans="1:11" ht="36.75" x14ac:dyDescent="0.3">
      <c r="A448" s="22">
        <v>444</v>
      </c>
      <c r="B448" s="28" t="s">
        <v>23</v>
      </c>
      <c r="C448" s="24" t="s">
        <v>24</v>
      </c>
      <c r="D448" s="24" t="s">
        <v>67</v>
      </c>
      <c r="E448" s="24" t="s">
        <v>68</v>
      </c>
      <c r="F448" s="24" t="s">
        <v>66</v>
      </c>
      <c r="G448" s="24" t="s">
        <v>14</v>
      </c>
      <c r="H448" s="24" t="s">
        <v>15</v>
      </c>
      <c r="I448" s="27">
        <v>1</v>
      </c>
      <c r="J448" s="42" t="s">
        <v>16</v>
      </c>
      <c r="K448" s="10">
        <v>20</v>
      </c>
    </row>
    <row r="449" spans="1:11" ht="36.75" x14ac:dyDescent="0.3">
      <c r="A449" s="22">
        <v>445</v>
      </c>
      <c r="B449" s="28" t="s">
        <v>23</v>
      </c>
      <c r="C449" s="24" t="s">
        <v>24</v>
      </c>
      <c r="D449" s="24" t="s">
        <v>69</v>
      </c>
      <c r="E449" s="24" t="s">
        <v>70</v>
      </c>
      <c r="F449" s="24" t="s">
        <v>71</v>
      </c>
      <c r="G449" s="24" t="s">
        <v>14</v>
      </c>
      <c r="H449" s="24" t="s">
        <v>15</v>
      </c>
      <c r="I449" s="27">
        <v>1</v>
      </c>
      <c r="J449" s="42" t="s">
        <v>16</v>
      </c>
      <c r="K449" s="10">
        <v>10</v>
      </c>
    </row>
    <row r="450" spans="1:11" ht="36.75" x14ac:dyDescent="0.3">
      <c r="A450" s="22">
        <v>446</v>
      </c>
      <c r="B450" s="28" t="s">
        <v>23</v>
      </c>
      <c r="C450" s="24" t="s">
        <v>24</v>
      </c>
      <c r="D450" s="24" t="s">
        <v>72</v>
      </c>
      <c r="E450" s="24" t="s">
        <v>73</v>
      </c>
      <c r="F450" s="24" t="s">
        <v>71</v>
      </c>
      <c r="G450" s="24" t="s">
        <v>14</v>
      </c>
      <c r="H450" s="24" t="s">
        <v>15</v>
      </c>
      <c r="I450" s="27">
        <v>1</v>
      </c>
      <c r="J450" s="42" t="s">
        <v>16</v>
      </c>
      <c r="K450" s="10">
        <v>10</v>
      </c>
    </row>
    <row r="451" spans="1:11" ht="36.75" x14ac:dyDescent="0.3">
      <c r="A451" s="22">
        <v>447</v>
      </c>
      <c r="B451" s="28" t="s">
        <v>23</v>
      </c>
      <c r="C451" s="24" t="s">
        <v>24</v>
      </c>
      <c r="D451" s="24" t="s">
        <v>74</v>
      </c>
      <c r="E451" s="24" t="s">
        <v>75</v>
      </c>
      <c r="F451" s="24" t="s">
        <v>71</v>
      </c>
      <c r="G451" s="24" t="s">
        <v>14</v>
      </c>
      <c r="H451" s="24" t="s">
        <v>15</v>
      </c>
      <c r="I451" s="27">
        <v>1</v>
      </c>
      <c r="J451" s="42" t="s">
        <v>16</v>
      </c>
      <c r="K451" s="10">
        <v>10</v>
      </c>
    </row>
    <row r="452" spans="1:11" ht="36.75" x14ac:dyDescent="0.3">
      <c r="A452" s="22">
        <v>448</v>
      </c>
      <c r="B452" s="28" t="s">
        <v>23</v>
      </c>
      <c r="C452" s="24" t="s">
        <v>24</v>
      </c>
      <c r="D452" s="24" t="s">
        <v>76</v>
      </c>
      <c r="E452" s="24" t="s">
        <v>77</v>
      </c>
      <c r="F452" s="24" t="s">
        <v>71</v>
      </c>
      <c r="G452" s="24" t="s">
        <v>14</v>
      </c>
      <c r="H452" s="24" t="s">
        <v>15</v>
      </c>
      <c r="I452" s="27">
        <v>1</v>
      </c>
      <c r="J452" s="42" t="s">
        <v>16</v>
      </c>
      <c r="K452" s="10">
        <v>10</v>
      </c>
    </row>
    <row r="453" spans="1:11" ht="36.75" x14ac:dyDescent="0.3">
      <c r="A453" s="22">
        <v>449</v>
      </c>
      <c r="B453" s="28" t="s">
        <v>23</v>
      </c>
      <c r="C453" s="24" t="s">
        <v>24</v>
      </c>
      <c r="D453" s="24" t="s">
        <v>78</v>
      </c>
      <c r="E453" s="24" t="s">
        <v>79</v>
      </c>
      <c r="F453" s="24" t="s">
        <v>71</v>
      </c>
      <c r="G453" s="24" t="s">
        <v>14</v>
      </c>
      <c r="H453" s="24" t="s">
        <v>15</v>
      </c>
      <c r="I453" s="27">
        <v>1</v>
      </c>
      <c r="J453" s="42" t="s">
        <v>16</v>
      </c>
      <c r="K453" s="10">
        <v>10</v>
      </c>
    </row>
    <row r="454" spans="1:11" ht="36.75" x14ac:dyDescent="0.3">
      <c r="A454" s="22">
        <v>450</v>
      </c>
      <c r="B454" s="28" t="s">
        <v>23</v>
      </c>
      <c r="C454" s="24" t="s">
        <v>24</v>
      </c>
      <c r="D454" s="24" t="s">
        <v>80</v>
      </c>
      <c r="E454" s="24" t="s">
        <v>81</v>
      </c>
      <c r="F454" s="24" t="s">
        <v>71</v>
      </c>
      <c r="G454" s="24" t="s">
        <v>14</v>
      </c>
      <c r="H454" s="24" t="s">
        <v>15</v>
      </c>
      <c r="I454" s="27">
        <v>1</v>
      </c>
      <c r="J454" s="42" t="s">
        <v>16</v>
      </c>
      <c r="K454" s="10">
        <v>10</v>
      </c>
    </row>
    <row r="455" spans="1:11" ht="36.75" x14ac:dyDescent="0.3">
      <c r="A455" s="22">
        <v>451</v>
      </c>
      <c r="B455" s="28" t="s">
        <v>23</v>
      </c>
      <c r="C455" s="24" t="s">
        <v>24</v>
      </c>
      <c r="D455" s="24" t="s">
        <v>82</v>
      </c>
      <c r="E455" s="24" t="s">
        <v>83</v>
      </c>
      <c r="F455" s="24" t="s">
        <v>71</v>
      </c>
      <c r="G455" s="24" t="s">
        <v>14</v>
      </c>
      <c r="H455" s="24" t="s">
        <v>15</v>
      </c>
      <c r="I455" s="27">
        <v>1</v>
      </c>
      <c r="J455" s="42" t="s">
        <v>16</v>
      </c>
      <c r="K455" s="10">
        <v>10</v>
      </c>
    </row>
    <row r="456" spans="1:11" ht="36.75" x14ac:dyDescent="0.3">
      <c r="A456" s="22">
        <v>452</v>
      </c>
      <c r="B456" s="28" t="s">
        <v>23</v>
      </c>
      <c r="C456" s="24" t="s">
        <v>24</v>
      </c>
      <c r="D456" s="24" t="s">
        <v>84</v>
      </c>
      <c r="E456" s="24" t="s">
        <v>85</v>
      </c>
      <c r="F456" s="24" t="s">
        <v>86</v>
      </c>
      <c r="G456" s="24" t="s">
        <v>14</v>
      </c>
      <c r="H456" s="24" t="s">
        <v>15</v>
      </c>
      <c r="I456" s="27">
        <v>1</v>
      </c>
      <c r="J456" s="42" t="s">
        <v>16</v>
      </c>
      <c r="K456" s="10">
        <v>15</v>
      </c>
    </row>
    <row r="457" spans="1:11" ht="36.75" x14ac:dyDescent="0.3">
      <c r="A457" s="22">
        <v>453</v>
      </c>
      <c r="B457" s="28" t="s">
        <v>23</v>
      </c>
      <c r="C457" s="24" t="s">
        <v>24</v>
      </c>
      <c r="D457" s="24" t="s">
        <v>87</v>
      </c>
      <c r="E457" s="24" t="s">
        <v>88</v>
      </c>
      <c r="F457" s="24" t="s">
        <v>86</v>
      </c>
      <c r="G457" s="24" t="s">
        <v>14</v>
      </c>
      <c r="H457" s="24" t="s">
        <v>15</v>
      </c>
      <c r="I457" s="27">
        <v>1</v>
      </c>
      <c r="J457" s="42" t="s">
        <v>16</v>
      </c>
      <c r="K457" s="10">
        <v>15</v>
      </c>
    </row>
    <row r="458" spans="1:11" ht="36.75" x14ac:dyDescent="0.3">
      <c r="A458" s="22">
        <v>454</v>
      </c>
      <c r="B458" s="28" t="s">
        <v>23</v>
      </c>
      <c r="C458" s="24" t="s">
        <v>24</v>
      </c>
      <c r="D458" s="24" t="s">
        <v>89</v>
      </c>
      <c r="E458" s="24" t="s">
        <v>90</v>
      </c>
      <c r="F458" s="24" t="s">
        <v>86</v>
      </c>
      <c r="G458" s="24" t="s">
        <v>14</v>
      </c>
      <c r="H458" s="24" t="s">
        <v>15</v>
      </c>
      <c r="I458" s="27">
        <v>1</v>
      </c>
      <c r="J458" s="42" t="s">
        <v>16</v>
      </c>
      <c r="K458" s="10">
        <v>15</v>
      </c>
    </row>
    <row r="459" spans="1:11" ht="36.75" x14ac:dyDescent="0.3">
      <c r="A459" s="22">
        <v>455</v>
      </c>
      <c r="B459" s="28" t="s">
        <v>23</v>
      </c>
      <c r="C459" s="24" t="s">
        <v>24</v>
      </c>
      <c r="D459" s="24" t="s">
        <v>91</v>
      </c>
      <c r="E459" s="24" t="s">
        <v>92</v>
      </c>
      <c r="F459" s="24" t="s">
        <v>86</v>
      </c>
      <c r="G459" s="24" t="s">
        <v>14</v>
      </c>
      <c r="H459" s="24" t="s">
        <v>15</v>
      </c>
      <c r="I459" s="27">
        <v>1</v>
      </c>
      <c r="J459" s="42" t="s">
        <v>16</v>
      </c>
      <c r="K459" s="10">
        <v>15</v>
      </c>
    </row>
    <row r="460" spans="1:11" ht="36.75" x14ac:dyDescent="0.3">
      <c r="A460" s="22">
        <v>456</v>
      </c>
      <c r="B460" s="28" t="s">
        <v>23</v>
      </c>
      <c r="C460" s="24" t="s">
        <v>24</v>
      </c>
      <c r="D460" s="24" t="s">
        <v>93</v>
      </c>
      <c r="E460" s="24" t="s">
        <v>94</v>
      </c>
      <c r="F460" s="24" t="s">
        <v>86</v>
      </c>
      <c r="G460" s="24" t="s">
        <v>14</v>
      </c>
      <c r="H460" s="24" t="s">
        <v>15</v>
      </c>
      <c r="I460" s="27">
        <v>1</v>
      </c>
      <c r="J460" s="42" t="s">
        <v>16</v>
      </c>
      <c r="K460" s="10">
        <v>15</v>
      </c>
    </row>
    <row r="461" spans="1:11" ht="36.75" x14ac:dyDescent="0.3">
      <c r="A461" s="22">
        <v>457</v>
      </c>
      <c r="B461" s="28" t="s">
        <v>23</v>
      </c>
      <c r="C461" s="24" t="s">
        <v>24</v>
      </c>
      <c r="D461" s="24" t="s">
        <v>95</v>
      </c>
      <c r="E461" s="24" t="s">
        <v>96</v>
      </c>
      <c r="F461" s="24" t="s">
        <v>86</v>
      </c>
      <c r="G461" s="24" t="s">
        <v>14</v>
      </c>
      <c r="H461" s="24" t="s">
        <v>15</v>
      </c>
      <c r="I461" s="27">
        <v>1</v>
      </c>
      <c r="J461" s="42" t="s">
        <v>16</v>
      </c>
      <c r="K461" s="10">
        <v>15</v>
      </c>
    </row>
    <row r="462" spans="1:11" ht="36.75" x14ac:dyDescent="0.3">
      <c r="A462" s="22">
        <v>458</v>
      </c>
      <c r="B462" s="28" t="s">
        <v>23</v>
      </c>
      <c r="C462" s="24" t="s">
        <v>24</v>
      </c>
      <c r="D462" s="24" t="s">
        <v>97</v>
      </c>
      <c r="E462" s="24" t="s">
        <v>98</v>
      </c>
      <c r="F462" s="24" t="s">
        <v>86</v>
      </c>
      <c r="G462" s="24" t="s">
        <v>14</v>
      </c>
      <c r="H462" s="24" t="s">
        <v>15</v>
      </c>
      <c r="I462" s="27">
        <v>1</v>
      </c>
      <c r="J462" s="42" t="s">
        <v>16</v>
      </c>
      <c r="K462" s="10">
        <v>15</v>
      </c>
    </row>
    <row r="463" spans="1:11" ht="36.75" x14ac:dyDescent="0.3">
      <c r="A463" s="22">
        <v>459</v>
      </c>
      <c r="B463" s="28" t="s">
        <v>23</v>
      </c>
      <c r="C463" s="24" t="s">
        <v>24</v>
      </c>
      <c r="D463" s="24" t="s">
        <v>99</v>
      </c>
      <c r="E463" s="24" t="s">
        <v>100</v>
      </c>
      <c r="F463" s="24" t="s">
        <v>86</v>
      </c>
      <c r="G463" s="24" t="s">
        <v>14</v>
      </c>
      <c r="H463" s="24" t="s">
        <v>15</v>
      </c>
      <c r="I463" s="27">
        <v>1</v>
      </c>
      <c r="J463" s="42" t="s">
        <v>16</v>
      </c>
      <c r="K463" s="10">
        <v>15</v>
      </c>
    </row>
    <row r="464" spans="1:11" ht="36.75" x14ac:dyDescent="0.3">
      <c r="A464" s="22">
        <v>460</v>
      </c>
      <c r="B464" s="28" t="s">
        <v>23</v>
      </c>
      <c r="C464" s="24" t="s">
        <v>24</v>
      </c>
      <c r="D464" s="24" t="s">
        <v>101</v>
      </c>
      <c r="E464" s="24" t="s">
        <v>102</v>
      </c>
      <c r="F464" s="24" t="s">
        <v>86</v>
      </c>
      <c r="G464" s="24" t="s">
        <v>14</v>
      </c>
      <c r="H464" s="24" t="s">
        <v>15</v>
      </c>
      <c r="I464" s="27">
        <v>1</v>
      </c>
      <c r="J464" s="42" t="s">
        <v>16</v>
      </c>
      <c r="K464" s="10">
        <v>15</v>
      </c>
    </row>
    <row r="465" spans="1:11" ht="36.75" x14ac:dyDescent="0.3">
      <c r="A465" s="22">
        <v>461</v>
      </c>
      <c r="B465" s="28" t="s">
        <v>23</v>
      </c>
      <c r="C465" s="24" t="s">
        <v>24</v>
      </c>
      <c r="D465" s="24" t="s">
        <v>103</v>
      </c>
      <c r="E465" s="24" t="s">
        <v>104</v>
      </c>
      <c r="F465" s="24" t="s">
        <v>86</v>
      </c>
      <c r="G465" s="24" t="s">
        <v>14</v>
      </c>
      <c r="H465" s="24" t="s">
        <v>15</v>
      </c>
      <c r="I465" s="27">
        <v>1</v>
      </c>
      <c r="J465" s="42" t="s">
        <v>16</v>
      </c>
      <c r="K465" s="10">
        <v>15</v>
      </c>
    </row>
    <row r="466" spans="1:11" ht="36.75" x14ac:dyDescent="0.3">
      <c r="A466" s="22">
        <v>462</v>
      </c>
      <c r="B466" s="28" t="s">
        <v>23</v>
      </c>
      <c r="C466" s="24" t="s">
        <v>24</v>
      </c>
      <c r="D466" s="24" t="s">
        <v>105</v>
      </c>
      <c r="E466" s="24" t="s">
        <v>106</v>
      </c>
      <c r="F466" s="24" t="s">
        <v>107</v>
      </c>
      <c r="G466" s="24" t="s">
        <v>14</v>
      </c>
      <c r="H466" s="24" t="s">
        <v>15</v>
      </c>
      <c r="I466" s="27">
        <v>1</v>
      </c>
      <c r="J466" s="42" t="s">
        <v>16</v>
      </c>
      <c r="K466" s="10">
        <v>30</v>
      </c>
    </row>
    <row r="467" spans="1:11" ht="36.75" x14ac:dyDescent="0.3">
      <c r="A467" s="22">
        <v>463</v>
      </c>
      <c r="B467" s="28" t="s">
        <v>23</v>
      </c>
      <c r="C467" s="24" t="s">
        <v>24</v>
      </c>
      <c r="D467" s="24" t="s">
        <v>108</v>
      </c>
      <c r="E467" s="24" t="s">
        <v>109</v>
      </c>
      <c r="F467" s="24" t="s">
        <v>107</v>
      </c>
      <c r="G467" s="24" t="s">
        <v>14</v>
      </c>
      <c r="H467" s="24" t="s">
        <v>15</v>
      </c>
      <c r="I467" s="27">
        <v>1</v>
      </c>
      <c r="J467" s="42" t="s">
        <v>16</v>
      </c>
      <c r="K467" s="10">
        <v>30</v>
      </c>
    </row>
    <row r="468" spans="1:11" ht="36.75" x14ac:dyDescent="0.3">
      <c r="A468" s="22">
        <v>464</v>
      </c>
      <c r="B468" s="28" t="s">
        <v>23</v>
      </c>
      <c r="C468" s="24" t="s">
        <v>24</v>
      </c>
      <c r="D468" s="24" t="s">
        <v>110</v>
      </c>
      <c r="E468" s="24" t="s">
        <v>111</v>
      </c>
      <c r="F468" s="24" t="s">
        <v>112</v>
      </c>
      <c r="G468" s="24" t="s">
        <v>14</v>
      </c>
      <c r="H468" s="24" t="s">
        <v>15</v>
      </c>
      <c r="I468" s="27">
        <v>1</v>
      </c>
      <c r="J468" s="42" t="s">
        <v>16</v>
      </c>
      <c r="K468" s="10">
        <v>10</v>
      </c>
    </row>
    <row r="469" spans="1:11" ht="36.75" x14ac:dyDescent="0.3">
      <c r="A469" s="22">
        <v>465</v>
      </c>
      <c r="B469" s="28" t="s">
        <v>23</v>
      </c>
      <c r="C469" s="24" t="s">
        <v>24</v>
      </c>
      <c r="D469" s="24" t="s">
        <v>113</v>
      </c>
      <c r="E469" s="24" t="s">
        <v>114</v>
      </c>
      <c r="F469" s="24" t="s">
        <v>112</v>
      </c>
      <c r="G469" s="24" t="s">
        <v>14</v>
      </c>
      <c r="H469" s="24" t="s">
        <v>15</v>
      </c>
      <c r="I469" s="27">
        <v>1</v>
      </c>
      <c r="J469" s="42" t="s">
        <v>16</v>
      </c>
      <c r="K469" s="10">
        <v>10</v>
      </c>
    </row>
    <row r="470" spans="1:11" ht="36.75" x14ac:dyDescent="0.3">
      <c r="A470" s="22">
        <v>466</v>
      </c>
      <c r="B470" s="28" t="s">
        <v>23</v>
      </c>
      <c r="C470" s="24" t="s">
        <v>24</v>
      </c>
      <c r="D470" s="24" t="s">
        <v>115</v>
      </c>
      <c r="E470" s="24" t="s">
        <v>116</v>
      </c>
      <c r="F470" s="24" t="s">
        <v>117</v>
      </c>
      <c r="G470" s="24" t="s">
        <v>14</v>
      </c>
      <c r="H470" s="24" t="s">
        <v>15</v>
      </c>
      <c r="I470" s="27">
        <v>1</v>
      </c>
      <c r="J470" s="42" t="s">
        <v>16</v>
      </c>
      <c r="K470" s="10">
        <v>5</v>
      </c>
    </row>
    <row r="471" spans="1:11" ht="36.75" x14ac:dyDescent="0.3">
      <c r="A471" s="22">
        <v>467</v>
      </c>
      <c r="B471" s="28" t="s">
        <v>23</v>
      </c>
      <c r="C471" s="24" t="s">
        <v>24</v>
      </c>
      <c r="D471" s="24" t="s">
        <v>118</v>
      </c>
      <c r="E471" s="24" t="s">
        <v>119</v>
      </c>
      <c r="F471" s="24" t="s">
        <v>120</v>
      </c>
      <c r="G471" s="24" t="s">
        <v>14</v>
      </c>
      <c r="H471" s="24" t="s">
        <v>15</v>
      </c>
      <c r="I471" s="27">
        <v>1</v>
      </c>
      <c r="J471" s="42" t="s">
        <v>16</v>
      </c>
      <c r="K471" s="10">
        <v>25</v>
      </c>
    </row>
    <row r="472" spans="1:11" ht="36.75" x14ac:dyDescent="0.3">
      <c r="A472" s="22">
        <v>468</v>
      </c>
      <c r="B472" s="28" t="s">
        <v>23</v>
      </c>
      <c r="C472" s="24" t="s">
        <v>24</v>
      </c>
      <c r="D472" s="24" t="s">
        <v>121</v>
      </c>
      <c r="E472" s="24" t="s">
        <v>122</v>
      </c>
      <c r="F472" s="24" t="s">
        <v>120</v>
      </c>
      <c r="G472" s="24" t="s">
        <v>14</v>
      </c>
      <c r="H472" s="24" t="s">
        <v>15</v>
      </c>
      <c r="I472" s="27">
        <v>1</v>
      </c>
      <c r="J472" s="42" t="s">
        <v>16</v>
      </c>
      <c r="K472" s="10">
        <v>25</v>
      </c>
    </row>
    <row r="473" spans="1:11" ht="36.75" x14ac:dyDescent="0.3">
      <c r="A473" s="22">
        <v>469</v>
      </c>
      <c r="B473" s="28" t="s">
        <v>23</v>
      </c>
      <c r="C473" s="24" t="s">
        <v>24</v>
      </c>
      <c r="D473" s="24" t="s">
        <v>123</v>
      </c>
      <c r="E473" s="24" t="s">
        <v>124</v>
      </c>
      <c r="F473" s="24" t="s">
        <v>125</v>
      </c>
      <c r="G473" s="24" t="s">
        <v>14</v>
      </c>
      <c r="H473" s="24" t="s">
        <v>15</v>
      </c>
      <c r="I473" s="27">
        <v>1</v>
      </c>
      <c r="J473" s="42" t="s">
        <v>16</v>
      </c>
      <c r="K473" s="10">
        <v>30</v>
      </c>
    </row>
    <row r="474" spans="1:11" ht="36.75" x14ac:dyDescent="0.3">
      <c r="A474" s="22">
        <v>470</v>
      </c>
      <c r="B474" s="28" t="s">
        <v>23</v>
      </c>
      <c r="C474" s="24" t="s">
        <v>24</v>
      </c>
      <c r="D474" s="24" t="s">
        <v>126</v>
      </c>
      <c r="E474" s="24" t="s">
        <v>127</v>
      </c>
      <c r="F474" s="24" t="s">
        <v>27</v>
      </c>
      <c r="G474" s="24" t="s">
        <v>14</v>
      </c>
      <c r="H474" s="24" t="s">
        <v>15</v>
      </c>
      <c r="I474" s="27">
        <v>1</v>
      </c>
      <c r="J474" s="42" t="s">
        <v>16</v>
      </c>
      <c r="K474" s="10">
        <v>25</v>
      </c>
    </row>
    <row r="475" spans="1:11" ht="36.75" x14ac:dyDescent="0.3">
      <c r="A475" s="22">
        <v>471</v>
      </c>
      <c r="B475" s="28" t="s">
        <v>23</v>
      </c>
      <c r="C475" s="24" t="s">
        <v>24</v>
      </c>
      <c r="D475" s="24" t="s">
        <v>128</v>
      </c>
      <c r="E475" s="24" t="s">
        <v>129</v>
      </c>
      <c r="F475" s="24" t="s">
        <v>130</v>
      </c>
      <c r="G475" s="24" t="s">
        <v>14</v>
      </c>
      <c r="H475" s="24" t="s">
        <v>15</v>
      </c>
      <c r="I475" s="27">
        <v>1</v>
      </c>
      <c r="J475" s="42" t="s">
        <v>16</v>
      </c>
      <c r="K475" s="10">
        <v>25</v>
      </c>
    </row>
    <row r="476" spans="1:11" ht="36.75" x14ac:dyDescent="0.3">
      <c r="A476" s="22">
        <v>472</v>
      </c>
      <c r="B476" s="28" t="s">
        <v>23</v>
      </c>
      <c r="C476" s="24" t="s">
        <v>24</v>
      </c>
      <c r="D476" s="24" t="s">
        <v>131</v>
      </c>
      <c r="E476" s="24" t="s">
        <v>132</v>
      </c>
      <c r="F476" s="24" t="s">
        <v>133</v>
      </c>
      <c r="G476" s="24" t="s">
        <v>14</v>
      </c>
      <c r="H476" s="24" t="s">
        <v>15</v>
      </c>
      <c r="I476" s="27">
        <v>1</v>
      </c>
      <c r="J476" s="42" t="s">
        <v>16</v>
      </c>
      <c r="K476" s="10">
        <v>25</v>
      </c>
    </row>
    <row r="477" spans="1:11" ht="36.75" x14ac:dyDescent="0.3">
      <c r="A477" s="22">
        <v>473</v>
      </c>
      <c r="B477" s="28" t="s">
        <v>23</v>
      </c>
      <c r="C477" s="24" t="s">
        <v>24</v>
      </c>
      <c r="D477" s="24" t="s">
        <v>134</v>
      </c>
      <c r="E477" s="24" t="s">
        <v>135</v>
      </c>
      <c r="F477" s="24" t="s">
        <v>27</v>
      </c>
      <c r="G477" s="24" t="s">
        <v>14</v>
      </c>
      <c r="H477" s="24" t="s">
        <v>15</v>
      </c>
      <c r="I477" s="27">
        <v>1</v>
      </c>
      <c r="J477" s="42" t="s">
        <v>16</v>
      </c>
      <c r="K477" s="10">
        <v>25</v>
      </c>
    </row>
    <row r="478" spans="1:11" ht="36.75" x14ac:dyDescent="0.3">
      <c r="A478" s="22">
        <v>474</v>
      </c>
      <c r="B478" s="28" t="s">
        <v>23</v>
      </c>
      <c r="C478" s="24" t="s">
        <v>24</v>
      </c>
      <c r="D478" s="24" t="s">
        <v>136</v>
      </c>
      <c r="E478" s="24" t="s">
        <v>137</v>
      </c>
      <c r="F478" s="24" t="s">
        <v>27</v>
      </c>
      <c r="G478" s="24" t="s">
        <v>14</v>
      </c>
      <c r="H478" s="24" t="s">
        <v>15</v>
      </c>
      <c r="I478" s="27">
        <v>1</v>
      </c>
      <c r="J478" s="42" t="s">
        <v>16</v>
      </c>
      <c r="K478" s="10">
        <v>25</v>
      </c>
    </row>
    <row r="479" spans="1:11" ht="36.75" x14ac:dyDescent="0.3">
      <c r="A479" s="22">
        <v>475</v>
      </c>
      <c r="B479" s="28" t="s">
        <v>23</v>
      </c>
      <c r="C479" s="24" t="s">
        <v>24</v>
      </c>
      <c r="D479" s="24" t="s">
        <v>138</v>
      </c>
      <c r="E479" s="24" t="s">
        <v>139</v>
      </c>
      <c r="F479" s="24" t="s">
        <v>140</v>
      </c>
      <c r="G479" s="24" t="s">
        <v>14</v>
      </c>
      <c r="H479" s="24" t="s">
        <v>15</v>
      </c>
      <c r="I479" s="27">
        <v>1</v>
      </c>
      <c r="J479" s="42" t="s">
        <v>16</v>
      </c>
      <c r="K479" s="10">
        <v>15</v>
      </c>
    </row>
    <row r="480" spans="1:11" ht="36.75" x14ac:dyDescent="0.3">
      <c r="A480" s="22">
        <v>476</v>
      </c>
      <c r="B480" s="28" t="s">
        <v>23</v>
      </c>
      <c r="C480" s="24" t="s">
        <v>24</v>
      </c>
      <c r="D480" s="24" t="s">
        <v>141</v>
      </c>
      <c r="E480" s="24" t="s">
        <v>142</v>
      </c>
      <c r="F480" s="24" t="s">
        <v>27</v>
      </c>
      <c r="G480" s="24" t="s">
        <v>14</v>
      </c>
      <c r="H480" s="24" t="s">
        <v>15</v>
      </c>
      <c r="I480" s="27">
        <v>1</v>
      </c>
      <c r="J480" s="42" t="s">
        <v>16</v>
      </c>
      <c r="K480" s="10">
        <v>25</v>
      </c>
    </row>
    <row r="481" spans="1:11" ht="36.75" x14ac:dyDescent="0.3">
      <c r="A481" s="22">
        <v>477</v>
      </c>
      <c r="B481" s="28" t="s">
        <v>23</v>
      </c>
      <c r="C481" s="24" t="s">
        <v>24</v>
      </c>
      <c r="D481" s="24" t="s">
        <v>143</v>
      </c>
      <c r="E481" s="24" t="s">
        <v>144</v>
      </c>
      <c r="F481" s="24" t="s">
        <v>27</v>
      </c>
      <c r="G481" s="24" t="s">
        <v>14</v>
      </c>
      <c r="H481" s="24" t="s">
        <v>15</v>
      </c>
      <c r="I481" s="27">
        <v>1</v>
      </c>
      <c r="J481" s="42" t="s">
        <v>16</v>
      </c>
      <c r="K481" s="10">
        <v>25</v>
      </c>
    </row>
    <row r="482" spans="1:11" ht="36.75" x14ac:dyDescent="0.3">
      <c r="A482" s="22">
        <v>478</v>
      </c>
      <c r="B482" s="28" t="s">
        <v>23</v>
      </c>
      <c r="C482" s="24" t="s">
        <v>24</v>
      </c>
      <c r="D482" s="24" t="s">
        <v>145</v>
      </c>
      <c r="E482" s="24" t="s">
        <v>146</v>
      </c>
      <c r="F482" s="24" t="s">
        <v>147</v>
      </c>
      <c r="G482" s="24" t="s">
        <v>14</v>
      </c>
      <c r="H482" s="24" t="s">
        <v>15</v>
      </c>
      <c r="I482" s="27">
        <v>1</v>
      </c>
      <c r="J482" s="42" t="s">
        <v>16</v>
      </c>
      <c r="K482" s="10">
        <v>5</v>
      </c>
    </row>
    <row r="483" spans="1:11" ht="36.75" x14ac:dyDescent="0.3">
      <c r="A483" s="22">
        <v>479</v>
      </c>
      <c r="B483" s="28" t="s">
        <v>23</v>
      </c>
      <c r="C483" s="24" t="s">
        <v>24</v>
      </c>
      <c r="D483" s="24" t="s">
        <v>148</v>
      </c>
      <c r="E483" s="24" t="s">
        <v>149</v>
      </c>
      <c r="F483" s="24" t="s">
        <v>147</v>
      </c>
      <c r="G483" s="24" t="s">
        <v>14</v>
      </c>
      <c r="H483" s="24" t="s">
        <v>15</v>
      </c>
      <c r="I483" s="27">
        <v>1</v>
      </c>
      <c r="J483" s="42" t="s">
        <v>16</v>
      </c>
      <c r="K483" s="10">
        <v>5</v>
      </c>
    </row>
    <row r="484" spans="1:11" ht="36.75" x14ac:dyDescent="0.3">
      <c r="A484" s="22">
        <v>480</v>
      </c>
      <c r="B484" s="28" t="s">
        <v>23</v>
      </c>
      <c r="C484" s="24" t="s">
        <v>24</v>
      </c>
      <c r="D484" s="24" t="s">
        <v>150</v>
      </c>
      <c r="E484" s="24" t="s">
        <v>151</v>
      </c>
      <c r="F484" s="24" t="s">
        <v>147</v>
      </c>
      <c r="G484" s="24" t="s">
        <v>14</v>
      </c>
      <c r="H484" s="24" t="s">
        <v>15</v>
      </c>
      <c r="I484" s="27">
        <v>1</v>
      </c>
      <c r="J484" s="42" t="s">
        <v>16</v>
      </c>
      <c r="K484" s="10">
        <v>5</v>
      </c>
    </row>
    <row r="485" spans="1:11" ht="36.75" x14ac:dyDescent="0.3">
      <c r="A485" s="22">
        <v>481</v>
      </c>
      <c r="B485" s="28" t="s">
        <v>23</v>
      </c>
      <c r="C485" s="24" t="s">
        <v>24</v>
      </c>
      <c r="D485" s="24" t="s">
        <v>152</v>
      </c>
      <c r="E485" s="24" t="s">
        <v>153</v>
      </c>
      <c r="F485" s="24" t="s">
        <v>147</v>
      </c>
      <c r="G485" s="24" t="s">
        <v>14</v>
      </c>
      <c r="H485" s="24" t="s">
        <v>15</v>
      </c>
      <c r="I485" s="27">
        <v>1</v>
      </c>
      <c r="J485" s="42" t="s">
        <v>16</v>
      </c>
      <c r="K485" s="10">
        <v>5</v>
      </c>
    </row>
    <row r="486" spans="1:11" ht="36.75" x14ac:dyDescent="0.3">
      <c r="A486" s="22">
        <v>482</v>
      </c>
      <c r="B486" s="28" t="s">
        <v>23</v>
      </c>
      <c r="C486" s="24" t="s">
        <v>24</v>
      </c>
      <c r="D486" s="24" t="s">
        <v>154</v>
      </c>
      <c r="E486" s="24" t="s">
        <v>155</v>
      </c>
      <c r="F486" s="24" t="s">
        <v>147</v>
      </c>
      <c r="G486" s="24" t="s">
        <v>14</v>
      </c>
      <c r="H486" s="24" t="s">
        <v>15</v>
      </c>
      <c r="I486" s="27">
        <v>1</v>
      </c>
      <c r="J486" s="42" t="s">
        <v>16</v>
      </c>
      <c r="K486" s="10">
        <v>5</v>
      </c>
    </row>
    <row r="487" spans="1:11" ht="36.75" x14ac:dyDescent="0.3">
      <c r="A487" s="22">
        <v>483</v>
      </c>
      <c r="B487" s="28" t="s">
        <v>23</v>
      </c>
      <c r="C487" s="24" t="s">
        <v>24</v>
      </c>
      <c r="D487" s="24" t="s">
        <v>156</v>
      </c>
      <c r="E487" s="24" t="s">
        <v>157</v>
      </c>
      <c r="F487" s="24" t="s">
        <v>147</v>
      </c>
      <c r="G487" s="24" t="s">
        <v>14</v>
      </c>
      <c r="H487" s="24" t="s">
        <v>15</v>
      </c>
      <c r="I487" s="27">
        <v>1</v>
      </c>
      <c r="J487" s="42" t="s">
        <v>16</v>
      </c>
      <c r="K487" s="10">
        <v>5</v>
      </c>
    </row>
    <row r="488" spans="1:11" ht="36.75" x14ac:dyDescent="0.3">
      <c r="A488" s="22">
        <v>484</v>
      </c>
      <c r="B488" s="28" t="s">
        <v>23</v>
      </c>
      <c r="C488" s="24" t="s">
        <v>24</v>
      </c>
      <c r="D488" s="24" t="s">
        <v>158</v>
      </c>
      <c r="E488" s="24" t="s">
        <v>159</v>
      </c>
      <c r="F488" s="24" t="s">
        <v>147</v>
      </c>
      <c r="G488" s="24" t="s">
        <v>14</v>
      </c>
      <c r="H488" s="24" t="s">
        <v>15</v>
      </c>
      <c r="I488" s="27">
        <v>1</v>
      </c>
      <c r="J488" s="42" t="s">
        <v>16</v>
      </c>
      <c r="K488" s="10">
        <v>5</v>
      </c>
    </row>
    <row r="489" spans="1:11" ht="36.75" x14ac:dyDescent="0.3">
      <c r="A489" s="22">
        <v>485</v>
      </c>
      <c r="B489" s="28" t="s">
        <v>23</v>
      </c>
      <c r="C489" s="24" t="s">
        <v>24</v>
      </c>
      <c r="D489" s="24" t="s">
        <v>160</v>
      </c>
      <c r="E489" s="24" t="s">
        <v>161</v>
      </c>
      <c r="F489" s="24" t="s">
        <v>147</v>
      </c>
      <c r="G489" s="24" t="s">
        <v>14</v>
      </c>
      <c r="H489" s="24" t="s">
        <v>15</v>
      </c>
      <c r="I489" s="27">
        <v>1</v>
      </c>
      <c r="J489" s="42" t="s">
        <v>16</v>
      </c>
      <c r="K489" s="10">
        <v>5</v>
      </c>
    </row>
    <row r="490" spans="1:11" ht="36.75" x14ac:dyDescent="0.3">
      <c r="A490" s="22">
        <v>486</v>
      </c>
      <c r="B490" s="28" t="s">
        <v>23</v>
      </c>
      <c r="C490" s="24" t="s">
        <v>24</v>
      </c>
      <c r="D490" s="24" t="s">
        <v>162</v>
      </c>
      <c r="E490" s="24" t="s">
        <v>163</v>
      </c>
      <c r="F490" s="24" t="s">
        <v>147</v>
      </c>
      <c r="G490" s="24" t="s">
        <v>14</v>
      </c>
      <c r="H490" s="24" t="s">
        <v>15</v>
      </c>
      <c r="I490" s="27">
        <v>1</v>
      </c>
      <c r="J490" s="42" t="s">
        <v>16</v>
      </c>
      <c r="K490" s="10">
        <v>5</v>
      </c>
    </row>
    <row r="491" spans="1:11" ht="36.75" x14ac:dyDescent="0.3">
      <c r="A491" s="22">
        <v>487</v>
      </c>
      <c r="B491" s="28" t="s">
        <v>23</v>
      </c>
      <c r="C491" s="24" t="s">
        <v>24</v>
      </c>
      <c r="D491" s="24" t="s">
        <v>164</v>
      </c>
      <c r="E491" s="24" t="s">
        <v>165</v>
      </c>
      <c r="F491" s="24" t="s">
        <v>147</v>
      </c>
      <c r="G491" s="24" t="s">
        <v>14</v>
      </c>
      <c r="H491" s="24" t="s">
        <v>15</v>
      </c>
      <c r="I491" s="27">
        <v>1</v>
      </c>
      <c r="J491" s="42" t="s">
        <v>16</v>
      </c>
      <c r="K491" s="10">
        <v>5</v>
      </c>
    </row>
    <row r="492" spans="1:11" ht="36.75" x14ac:dyDescent="0.3">
      <c r="A492" s="22">
        <v>488</v>
      </c>
      <c r="B492" s="28" t="s">
        <v>23</v>
      </c>
      <c r="C492" s="24" t="s">
        <v>24</v>
      </c>
      <c r="D492" s="24" t="s">
        <v>166</v>
      </c>
      <c r="E492" s="24" t="s">
        <v>167</v>
      </c>
      <c r="F492" s="24" t="s">
        <v>147</v>
      </c>
      <c r="G492" s="24" t="s">
        <v>14</v>
      </c>
      <c r="H492" s="24" t="s">
        <v>15</v>
      </c>
      <c r="I492" s="27">
        <v>1</v>
      </c>
      <c r="J492" s="42" t="s">
        <v>16</v>
      </c>
      <c r="K492" s="10">
        <v>5</v>
      </c>
    </row>
    <row r="493" spans="1:11" ht="36.75" x14ac:dyDescent="0.3">
      <c r="A493" s="22">
        <v>489</v>
      </c>
      <c r="B493" s="28" t="s">
        <v>23</v>
      </c>
      <c r="C493" s="24" t="s">
        <v>24</v>
      </c>
      <c r="D493" s="24" t="s">
        <v>168</v>
      </c>
      <c r="E493" s="24" t="s">
        <v>169</v>
      </c>
      <c r="F493" s="24" t="s">
        <v>170</v>
      </c>
      <c r="G493" s="24" t="s">
        <v>14</v>
      </c>
      <c r="H493" s="24" t="s">
        <v>15</v>
      </c>
      <c r="I493" s="27">
        <v>1</v>
      </c>
      <c r="J493" s="42" t="s">
        <v>16</v>
      </c>
      <c r="K493" s="10">
        <v>5</v>
      </c>
    </row>
    <row r="494" spans="1:11" ht="36.75" x14ac:dyDescent="0.3">
      <c r="A494" s="22">
        <v>490</v>
      </c>
      <c r="B494" s="28" t="s">
        <v>23</v>
      </c>
      <c r="C494" s="24" t="s">
        <v>24</v>
      </c>
      <c r="D494" s="24" t="s">
        <v>171</v>
      </c>
      <c r="E494" s="24" t="s">
        <v>172</v>
      </c>
      <c r="F494" s="24" t="s">
        <v>173</v>
      </c>
      <c r="G494" s="24" t="s">
        <v>14</v>
      </c>
      <c r="H494" s="24" t="s">
        <v>15</v>
      </c>
      <c r="I494" s="27">
        <v>1</v>
      </c>
      <c r="J494" s="42" t="s">
        <v>16</v>
      </c>
      <c r="K494" s="10">
        <v>5</v>
      </c>
    </row>
    <row r="495" spans="1:11" ht="36.75" x14ac:dyDescent="0.3">
      <c r="A495" s="22">
        <v>491</v>
      </c>
      <c r="B495" s="28" t="s">
        <v>23</v>
      </c>
      <c r="C495" s="24" t="s">
        <v>24</v>
      </c>
      <c r="D495" s="24" t="s">
        <v>174</v>
      </c>
      <c r="E495" s="24" t="s">
        <v>175</v>
      </c>
      <c r="F495" s="24" t="s">
        <v>173</v>
      </c>
      <c r="G495" s="24" t="s">
        <v>14</v>
      </c>
      <c r="H495" s="24" t="s">
        <v>15</v>
      </c>
      <c r="I495" s="27">
        <v>1</v>
      </c>
      <c r="J495" s="42" t="s">
        <v>16</v>
      </c>
      <c r="K495" s="10">
        <v>5</v>
      </c>
    </row>
    <row r="496" spans="1:11" ht="36.75" x14ac:dyDescent="0.3">
      <c r="A496" s="22">
        <v>492</v>
      </c>
      <c r="B496" s="28" t="s">
        <v>23</v>
      </c>
      <c r="C496" s="24" t="s">
        <v>24</v>
      </c>
      <c r="D496" s="24" t="s">
        <v>176</v>
      </c>
      <c r="E496" s="24" t="s">
        <v>177</v>
      </c>
      <c r="F496" s="24" t="s">
        <v>173</v>
      </c>
      <c r="G496" s="24" t="s">
        <v>14</v>
      </c>
      <c r="H496" s="24" t="s">
        <v>15</v>
      </c>
      <c r="I496" s="27">
        <v>1</v>
      </c>
      <c r="J496" s="42" t="s">
        <v>16</v>
      </c>
      <c r="K496" s="10">
        <v>5</v>
      </c>
    </row>
    <row r="497" spans="1:11" ht="36.75" x14ac:dyDescent="0.3">
      <c r="A497" s="22">
        <v>493</v>
      </c>
      <c r="B497" s="28" t="s">
        <v>23</v>
      </c>
      <c r="C497" s="24" t="s">
        <v>24</v>
      </c>
      <c r="D497" s="24" t="s">
        <v>178</v>
      </c>
      <c r="E497" s="24" t="s">
        <v>179</v>
      </c>
      <c r="F497" s="24" t="s">
        <v>173</v>
      </c>
      <c r="G497" s="24" t="s">
        <v>14</v>
      </c>
      <c r="H497" s="24" t="s">
        <v>15</v>
      </c>
      <c r="I497" s="27">
        <v>1</v>
      </c>
      <c r="J497" s="42" t="s">
        <v>16</v>
      </c>
      <c r="K497" s="10">
        <v>5</v>
      </c>
    </row>
    <row r="498" spans="1:11" ht="36.75" x14ac:dyDescent="0.3">
      <c r="A498" s="22">
        <v>494</v>
      </c>
      <c r="B498" s="28" t="s">
        <v>23</v>
      </c>
      <c r="C498" s="24" t="s">
        <v>24</v>
      </c>
      <c r="D498" s="24" t="s">
        <v>180</v>
      </c>
      <c r="E498" s="24" t="s">
        <v>181</v>
      </c>
      <c r="F498" s="24" t="s">
        <v>173</v>
      </c>
      <c r="G498" s="24" t="s">
        <v>14</v>
      </c>
      <c r="H498" s="24" t="s">
        <v>15</v>
      </c>
      <c r="I498" s="27">
        <v>1</v>
      </c>
      <c r="J498" s="42" t="s">
        <v>16</v>
      </c>
      <c r="K498" s="10">
        <v>5</v>
      </c>
    </row>
    <row r="499" spans="1:11" ht="36.75" x14ac:dyDescent="0.3">
      <c r="A499" s="22">
        <v>495</v>
      </c>
      <c r="B499" s="28" t="s">
        <v>23</v>
      </c>
      <c r="C499" s="24" t="s">
        <v>24</v>
      </c>
      <c r="D499" s="24" t="s">
        <v>182</v>
      </c>
      <c r="E499" s="24" t="s">
        <v>183</v>
      </c>
      <c r="F499" s="24" t="s">
        <v>184</v>
      </c>
      <c r="G499" s="24" t="s">
        <v>14</v>
      </c>
      <c r="H499" s="24" t="s">
        <v>15</v>
      </c>
      <c r="I499" s="27">
        <v>1</v>
      </c>
      <c r="J499" s="42" t="s">
        <v>16</v>
      </c>
      <c r="K499" s="10">
        <v>5</v>
      </c>
    </row>
    <row r="500" spans="1:11" ht="36.75" x14ac:dyDescent="0.3">
      <c r="A500" s="22">
        <v>496</v>
      </c>
      <c r="B500" s="28" t="s">
        <v>23</v>
      </c>
      <c r="C500" s="24" t="s">
        <v>24</v>
      </c>
      <c r="D500" s="24" t="s">
        <v>185</v>
      </c>
      <c r="E500" s="24" t="s">
        <v>186</v>
      </c>
      <c r="F500" s="24" t="s">
        <v>187</v>
      </c>
      <c r="G500" s="24" t="s">
        <v>14</v>
      </c>
      <c r="H500" s="24" t="s">
        <v>15</v>
      </c>
      <c r="I500" s="27">
        <v>1</v>
      </c>
      <c r="J500" s="42" t="s">
        <v>16</v>
      </c>
      <c r="K500" s="10">
        <v>5</v>
      </c>
    </row>
    <row r="501" spans="1:11" ht="36.75" x14ac:dyDescent="0.3">
      <c r="A501" s="22">
        <v>497</v>
      </c>
      <c r="B501" s="28" t="s">
        <v>23</v>
      </c>
      <c r="C501" s="24" t="s">
        <v>24</v>
      </c>
      <c r="D501" s="24" t="s">
        <v>188</v>
      </c>
      <c r="E501" s="24" t="s">
        <v>189</v>
      </c>
      <c r="F501" s="24" t="s">
        <v>187</v>
      </c>
      <c r="G501" s="24" t="s">
        <v>14</v>
      </c>
      <c r="H501" s="24" t="s">
        <v>15</v>
      </c>
      <c r="I501" s="27">
        <v>1</v>
      </c>
      <c r="J501" s="42" t="s">
        <v>16</v>
      </c>
      <c r="K501" s="10">
        <v>5</v>
      </c>
    </row>
    <row r="502" spans="1:11" ht="36.75" x14ac:dyDescent="0.3">
      <c r="A502" s="22">
        <v>498</v>
      </c>
      <c r="B502" s="28" t="s">
        <v>23</v>
      </c>
      <c r="C502" s="24" t="s">
        <v>24</v>
      </c>
      <c r="D502" s="24" t="s">
        <v>190</v>
      </c>
      <c r="E502" s="24" t="s">
        <v>191</v>
      </c>
      <c r="F502" s="24" t="s">
        <v>192</v>
      </c>
      <c r="G502" s="24" t="s">
        <v>14</v>
      </c>
      <c r="H502" s="24" t="s">
        <v>15</v>
      </c>
      <c r="I502" s="27">
        <v>1</v>
      </c>
      <c r="J502" s="42" t="s">
        <v>16</v>
      </c>
      <c r="K502" s="10">
        <v>5</v>
      </c>
    </row>
    <row r="503" spans="1:11" ht="36.75" x14ac:dyDescent="0.3">
      <c r="A503" s="22">
        <v>499</v>
      </c>
      <c r="B503" s="28" t="s">
        <v>23</v>
      </c>
      <c r="C503" s="24" t="s">
        <v>24</v>
      </c>
      <c r="D503" s="24" t="s">
        <v>193</v>
      </c>
      <c r="E503" s="24" t="s">
        <v>194</v>
      </c>
      <c r="F503" s="24" t="s">
        <v>195</v>
      </c>
      <c r="G503" s="24" t="s">
        <v>14</v>
      </c>
      <c r="H503" s="24" t="s">
        <v>15</v>
      </c>
      <c r="I503" s="27">
        <v>1</v>
      </c>
      <c r="J503" s="42" t="s">
        <v>16</v>
      </c>
      <c r="K503" s="10">
        <v>5</v>
      </c>
    </row>
    <row r="504" spans="1:11" ht="36.75" x14ac:dyDescent="0.3">
      <c r="A504" s="22">
        <v>500</v>
      </c>
      <c r="B504" s="28" t="s">
        <v>23</v>
      </c>
      <c r="C504" s="24" t="s">
        <v>24</v>
      </c>
      <c r="D504" s="24" t="s">
        <v>196</v>
      </c>
      <c r="E504" s="24" t="s">
        <v>197</v>
      </c>
      <c r="F504" s="24" t="s">
        <v>198</v>
      </c>
      <c r="G504" s="24" t="s">
        <v>14</v>
      </c>
      <c r="H504" s="24" t="s">
        <v>15</v>
      </c>
      <c r="I504" s="27">
        <v>1</v>
      </c>
      <c r="J504" s="42" t="s">
        <v>16</v>
      </c>
      <c r="K504" s="10">
        <v>5</v>
      </c>
    </row>
    <row r="505" spans="1:11" ht="36.75" x14ac:dyDescent="0.3">
      <c r="A505" s="22">
        <v>501</v>
      </c>
      <c r="B505" s="28" t="s">
        <v>23</v>
      </c>
      <c r="C505" s="24" t="s">
        <v>24</v>
      </c>
      <c r="D505" s="24" t="s">
        <v>199</v>
      </c>
      <c r="E505" s="24" t="s">
        <v>200</v>
      </c>
      <c r="F505" s="24" t="s">
        <v>198</v>
      </c>
      <c r="G505" s="24" t="s">
        <v>14</v>
      </c>
      <c r="H505" s="24" t="s">
        <v>15</v>
      </c>
      <c r="I505" s="27">
        <v>1</v>
      </c>
      <c r="J505" s="42" t="s">
        <v>16</v>
      </c>
      <c r="K505" s="10">
        <v>5</v>
      </c>
    </row>
    <row r="506" spans="1:11" ht="36.75" x14ac:dyDescent="0.3">
      <c r="A506" s="22">
        <v>502</v>
      </c>
      <c r="B506" s="28" t="s">
        <v>23</v>
      </c>
      <c r="C506" s="24" t="s">
        <v>24</v>
      </c>
      <c r="D506" s="24" t="s">
        <v>201</v>
      </c>
      <c r="E506" s="24" t="s">
        <v>202</v>
      </c>
      <c r="F506" s="24" t="s">
        <v>203</v>
      </c>
      <c r="G506" s="24" t="s">
        <v>14</v>
      </c>
      <c r="H506" s="24" t="s">
        <v>15</v>
      </c>
      <c r="I506" s="27">
        <v>1</v>
      </c>
      <c r="J506" s="42" t="s">
        <v>16</v>
      </c>
      <c r="K506" s="10">
        <v>5</v>
      </c>
    </row>
    <row r="507" spans="1:11" ht="36.75" x14ac:dyDescent="0.3">
      <c r="A507" s="22">
        <v>503</v>
      </c>
      <c r="B507" s="28" t="s">
        <v>23</v>
      </c>
      <c r="C507" s="24" t="s">
        <v>24</v>
      </c>
      <c r="D507" s="24" t="s">
        <v>204</v>
      </c>
      <c r="E507" s="24" t="s">
        <v>205</v>
      </c>
      <c r="F507" s="24" t="s">
        <v>206</v>
      </c>
      <c r="G507" s="24" t="s">
        <v>14</v>
      </c>
      <c r="H507" s="24" t="s">
        <v>15</v>
      </c>
      <c r="I507" s="27">
        <v>1</v>
      </c>
      <c r="J507" s="42" t="s">
        <v>16</v>
      </c>
      <c r="K507" s="10">
        <v>5</v>
      </c>
    </row>
    <row r="508" spans="1:11" ht="36.75" x14ac:dyDescent="0.3">
      <c r="A508" s="22">
        <v>504</v>
      </c>
      <c r="B508" s="28" t="s">
        <v>23</v>
      </c>
      <c r="C508" s="24" t="s">
        <v>24</v>
      </c>
      <c r="D508" s="24" t="s">
        <v>207</v>
      </c>
      <c r="E508" s="24" t="s">
        <v>208</v>
      </c>
      <c r="F508" s="24" t="s">
        <v>209</v>
      </c>
      <c r="G508" s="24" t="s">
        <v>14</v>
      </c>
      <c r="H508" s="24" t="s">
        <v>15</v>
      </c>
      <c r="I508" s="27">
        <v>1</v>
      </c>
      <c r="J508" s="42" t="s">
        <v>16</v>
      </c>
      <c r="K508" s="10">
        <v>5</v>
      </c>
    </row>
    <row r="509" spans="1:11" ht="18.75" customHeight="1" x14ac:dyDescent="0.3">
      <c r="A509" s="22">
        <v>505</v>
      </c>
      <c r="B509" s="28" t="s">
        <v>23</v>
      </c>
      <c r="C509" s="24" t="s">
        <v>24</v>
      </c>
      <c r="D509" s="24" t="s">
        <v>210</v>
      </c>
      <c r="E509" s="24" t="s">
        <v>211</v>
      </c>
      <c r="F509" s="24" t="s">
        <v>212</v>
      </c>
      <c r="G509" s="24" t="s">
        <v>14</v>
      </c>
      <c r="H509" s="24" t="s">
        <v>15</v>
      </c>
      <c r="I509" s="27">
        <v>1</v>
      </c>
      <c r="J509" s="42" t="s">
        <v>16</v>
      </c>
      <c r="K509" s="10">
        <v>5</v>
      </c>
    </row>
    <row r="510" spans="1:11" ht="36.75" x14ac:dyDescent="0.3">
      <c r="A510" s="22">
        <v>506</v>
      </c>
      <c r="B510" s="28" t="s">
        <v>23</v>
      </c>
      <c r="C510" s="24" t="s">
        <v>24</v>
      </c>
      <c r="D510" s="24" t="s">
        <v>213</v>
      </c>
      <c r="E510" s="24" t="s">
        <v>214</v>
      </c>
      <c r="F510" s="24" t="s">
        <v>215</v>
      </c>
      <c r="G510" s="24" t="s">
        <v>14</v>
      </c>
      <c r="H510" s="24" t="s">
        <v>15</v>
      </c>
      <c r="I510" s="27">
        <v>1</v>
      </c>
      <c r="J510" s="42" t="s">
        <v>16</v>
      </c>
      <c r="K510" s="10">
        <v>5</v>
      </c>
    </row>
    <row r="511" spans="1:11" ht="36.75" x14ac:dyDescent="0.3">
      <c r="A511" s="22">
        <v>507</v>
      </c>
      <c r="B511" s="28" t="s">
        <v>23</v>
      </c>
      <c r="C511" s="24" t="s">
        <v>24</v>
      </c>
      <c r="D511" s="24" t="s">
        <v>216</v>
      </c>
      <c r="E511" s="24" t="s">
        <v>217</v>
      </c>
      <c r="F511" s="24" t="s">
        <v>218</v>
      </c>
      <c r="G511" s="24" t="s">
        <v>14</v>
      </c>
      <c r="H511" s="24" t="s">
        <v>15</v>
      </c>
      <c r="I511" s="27">
        <v>1</v>
      </c>
      <c r="J511" s="42" t="s">
        <v>16</v>
      </c>
      <c r="K511" s="10">
        <v>5</v>
      </c>
    </row>
    <row r="512" spans="1:11" ht="36.75" x14ac:dyDescent="0.3">
      <c r="A512" s="22">
        <v>508</v>
      </c>
      <c r="B512" s="28" t="s">
        <v>23</v>
      </c>
      <c r="C512" s="24" t="s">
        <v>24</v>
      </c>
      <c r="D512" s="24" t="s">
        <v>219</v>
      </c>
      <c r="E512" s="24" t="s">
        <v>220</v>
      </c>
      <c r="F512" s="24" t="s">
        <v>221</v>
      </c>
      <c r="G512" s="24" t="s">
        <v>14</v>
      </c>
      <c r="H512" s="24" t="s">
        <v>15</v>
      </c>
      <c r="I512" s="27">
        <v>1</v>
      </c>
      <c r="J512" s="42" t="s">
        <v>16</v>
      </c>
      <c r="K512" s="10">
        <v>5</v>
      </c>
    </row>
    <row r="513" spans="1:11" ht="36.75" x14ac:dyDescent="0.3">
      <c r="A513" s="22">
        <v>509</v>
      </c>
      <c r="B513" s="28" t="s">
        <v>23</v>
      </c>
      <c r="C513" s="24" t="s">
        <v>24</v>
      </c>
      <c r="D513" s="24" t="s">
        <v>222</v>
      </c>
      <c r="E513" s="24" t="s">
        <v>223</v>
      </c>
      <c r="F513" s="24" t="s">
        <v>224</v>
      </c>
      <c r="G513" s="24" t="s">
        <v>14</v>
      </c>
      <c r="H513" s="24" t="s">
        <v>15</v>
      </c>
      <c r="I513" s="27">
        <v>1</v>
      </c>
      <c r="J513" s="42" t="s">
        <v>16</v>
      </c>
      <c r="K513" s="10">
        <v>5</v>
      </c>
    </row>
    <row r="514" spans="1:11" ht="36.75" x14ac:dyDescent="0.3">
      <c r="A514" s="22">
        <v>510</v>
      </c>
      <c r="B514" s="28" t="s">
        <v>23</v>
      </c>
      <c r="C514" s="24" t="s">
        <v>24</v>
      </c>
      <c r="D514" s="24" t="s">
        <v>225</v>
      </c>
      <c r="E514" s="24" t="s">
        <v>226</v>
      </c>
      <c r="F514" s="24" t="s">
        <v>227</v>
      </c>
      <c r="G514" s="24" t="s">
        <v>14</v>
      </c>
      <c r="H514" s="24" t="s">
        <v>15</v>
      </c>
      <c r="I514" s="27">
        <v>1</v>
      </c>
      <c r="J514" s="42" t="s">
        <v>16</v>
      </c>
      <c r="K514" s="10">
        <v>5</v>
      </c>
    </row>
    <row r="515" spans="1:11" ht="36.75" x14ac:dyDescent="0.3">
      <c r="A515" s="22">
        <v>511</v>
      </c>
      <c r="B515" s="28" t="s">
        <v>23</v>
      </c>
      <c r="C515" s="24" t="s">
        <v>24</v>
      </c>
      <c r="D515" s="24" t="s">
        <v>228</v>
      </c>
      <c r="E515" s="24" t="s">
        <v>229</v>
      </c>
      <c r="F515" s="24" t="s">
        <v>230</v>
      </c>
      <c r="G515" s="24" t="s">
        <v>14</v>
      </c>
      <c r="H515" s="24" t="s">
        <v>15</v>
      </c>
      <c r="I515" s="27">
        <v>1</v>
      </c>
      <c r="J515" s="42" t="s">
        <v>16</v>
      </c>
      <c r="K515" s="10">
        <v>5</v>
      </c>
    </row>
    <row r="516" spans="1:11" ht="36.75" x14ac:dyDescent="0.3">
      <c r="A516" s="22">
        <v>512</v>
      </c>
      <c r="B516" s="28" t="s">
        <v>23</v>
      </c>
      <c r="C516" s="24" t="s">
        <v>24</v>
      </c>
      <c r="D516" s="24" t="s">
        <v>231</v>
      </c>
      <c r="E516" s="24" t="s">
        <v>232</v>
      </c>
      <c r="F516" s="24" t="s">
        <v>233</v>
      </c>
      <c r="G516" s="24" t="s">
        <v>14</v>
      </c>
      <c r="H516" s="24" t="s">
        <v>15</v>
      </c>
      <c r="I516" s="27">
        <v>1</v>
      </c>
      <c r="J516" s="42" t="s">
        <v>16</v>
      </c>
      <c r="K516" s="10">
        <v>5</v>
      </c>
    </row>
    <row r="517" spans="1:11" ht="36.75" x14ac:dyDescent="0.3">
      <c r="A517" s="22">
        <v>513</v>
      </c>
      <c r="B517" s="28" t="s">
        <v>23</v>
      </c>
      <c r="C517" s="24" t="s">
        <v>24</v>
      </c>
      <c r="D517" s="24" t="s">
        <v>234</v>
      </c>
      <c r="E517" s="24" t="s">
        <v>235</v>
      </c>
      <c r="F517" s="24" t="s">
        <v>236</v>
      </c>
      <c r="G517" s="24" t="s">
        <v>14</v>
      </c>
      <c r="H517" s="24" t="s">
        <v>15</v>
      </c>
      <c r="I517" s="27">
        <v>1</v>
      </c>
      <c r="J517" s="42" t="s">
        <v>16</v>
      </c>
      <c r="K517" s="10">
        <v>5</v>
      </c>
    </row>
    <row r="518" spans="1:11" ht="36.75" x14ac:dyDescent="0.3">
      <c r="A518" s="22">
        <v>514</v>
      </c>
      <c r="B518" s="28" t="s">
        <v>23</v>
      </c>
      <c r="C518" s="24" t="s">
        <v>24</v>
      </c>
      <c r="D518" s="24" t="s">
        <v>237</v>
      </c>
      <c r="E518" s="24" t="s">
        <v>238</v>
      </c>
      <c r="F518" s="24" t="s">
        <v>239</v>
      </c>
      <c r="G518" s="24" t="s">
        <v>14</v>
      </c>
      <c r="H518" s="24" t="s">
        <v>15</v>
      </c>
      <c r="I518" s="27">
        <v>1</v>
      </c>
      <c r="J518" s="42" t="s">
        <v>16</v>
      </c>
      <c r="K518" s="10">
        <v>5</v>
      </c>
    </row>
    <row r="519" spans="1:11" ht="36.75" x14ac:dyDescent="0.3">
      <c r="A519" s="22">
        <v>515</v>
      </c>
      <c r="B519" s="28" t="s">
        <v>23</v>
      </c>
      <c r="C519" s="24" t="s">
        <v>24</v>
      </c>
      <c r="D519" s="24" t="s">
        <v>240</v>
      </c>
      <c r="E519" s="24" t="s">
        <v>241</v>
      </c>
      <c r="F519" s="24" t="s">
        <v>242</v>
      </c>
      <c r="G519" s="24" t="s">
        <v>14</v>
      </c>
      <c r="H519" s="24" t="s">
        <v>15</v>
      </c>
      <c r="I519" s="27">
        <v>1</v>
      </c>
      <c r="J519" s="42" t="s">
        <v>16</v>
      </c>
      <c r="K519" s="10">
        <v>5</v>
      </c>
    </row>
    <row r="520" spans="1:11" ht="36.75" x14ac:dyDescent="0.3">
      <c r="A520" s="22">
        <v>516</v>
      </c>
      <c r="B520" s="28" t="s">
        <v>23</v>
      </c>
      <c r="C520" s="24" t="s">
        <v>24</v>
      </c>
      <c r="D520" s="24" t="s">
        <v>243</v>
      </c>
      <c r="E520" s="24" t="s">
        <v>244</v>
      </c>
      <c r="F520" s="24" t="s">
        <v>242</v>
      </c>
      <c r="G520" s="24" t="s">
        <v>14</v>
      </c>
      <c r="H520" s="24" t="s">
        <v>15</v>
      </c>
      <c r="I520" s="27">
        <v>1</v>
      </c>
      <c r="J520" s="42" t="s">
        <v>16</v>
      </c>
      <c r="K520" s="10">
        <v>5</v>
      </c>
    </row>
    <row r="521" spans="1:11" ht="36.75" x14ac:dyDescent="0.3">
      <c r="A521" s="22">
        <v>517</v>
      </c>
      <c r="B521" s="28" t="s">
        <v>23</v>
      </c>
      <c r="C521" s="24" t="s">
        <v>24</v>
      </c>
      <c r="D521" s="24" t="s">
        <v>245</v>
      </c>
      <c r="E521" s="24" t="s">
        <v>246</v>
      </c>
      <c r="F521" s="24" t="s">
        <v>242</v>
      </c>
      <c r="G521" s="24" t="s">
        <v>14</v>
      </c>
      <c r="H521" s="24" t="s">
        <v>15</v>
      </c>
      <c r="I521" s="27">
        <v>1</v>
      </c>
      <c r="J521" s="42" t="s">
        <v>16</v>
      </c>
      <c r="K521" s="10">
        <v>5</v>
      </c>
    </row>
    <row r="522" spans="1:11" ht="36.75" x14ac:dyDescent="0.3">
      <c r="A522" s="22">
        <v>518</v>
      </c>
      <c r="B522" s="28" t="s">
        <v>23</v>
      </c>
      <c r="C522" s="24" t="s">
        <v>24</v>
      </c>
      <c r="D522" s="24" t="s">
        <v>247</v>
      </c>
      <c r="E522" s="24" t="s">
        <v>248</v>
      </c>
      <c r="F522" s="24" t="s">
        <v>249</v>
      </c>
      <c r="G522" s="24" t="s">
        <v>14</v>
      </c>
      <c r="H522" s="24" t="s">
        <v>15</v>
      </c>
      <c r="I522" s="27">
        <v>1</v>
      </c>
      <c r="J522" s="42" t="s">
        <v>16</v>
      </c>
      <c r="K522" s="10">
        <v>10</v>
      </c>
    </row>
    <row r="523" spans="1:11" ht="36.75" x14ac:dyDescent="0.3">
      <c r="A523" s="22">
        <v>519</v>
      </c>
      <c r="B523" s="28" t="s">
        <v>23</v>
      </c>
      <c r="C523" s="24" t="s">
        <v>24</v>
      </c>
      <c r="D523" s="24" t="s">
        <v>250</v>
      </c>
      <c r="E523" s="24" t="s">
        <v>251</v>
      </c>
      <c r="F523" s="24" t="s">
        <v>252</v>
      </c>
      <c r="G523" s="24" t="s">
        <v>14</v>
      </c>
      <c r="H523" s="24" t="s">
        <v>15</v>
      </c>
      <c r="I523" s="27">
        <v>1</v>
      </c>
      <c r="J523" s="42" t="s">
        <v>16</v>
      </c>
      <c r="K523" s="10">
        <v>25</v>
      </c>
    </row>
    <row r="524" spans="1:11" ht="36.75" x14ac:dyDescent="0.3">
      <c r="A524" s="22">
        <v>520</v>
      </c>
      <c r="B524" s="28" t="s">
        <v>23</v>
      </c>
      <c r="C524" s="24" t="s">
        <v>24</v>
      </c>
      <c r="D524" s="24" t="s">
        <v>253</v>
      </c>
      <c r="E524" s="24" t="s">
        <v>254</v>
      </c>
      <c r="F524" s="24" t="s">
        <v>252</v>
      </c>
      <c r="G524" s="24" t="s">
        <v>14</v>
      </c>
      <c r="H524" s="24" t="s">
        <v>15</v>
      </c>
      <c r="I524" s="27">
        <v>1</v>
      </c>
      <c r="J524" s="42" t="s">
        <v>16</v>
      </c>
      <c r="K524" s="10">
        <v>25</v>
      </c>
    </row>
    <row r="525" spans="1:11" ht="36.75" x14ac:dyDescent="0.3">
      <c r="A525" s="22">
        <v>521</v>
      </c>
      <c r="B525" s="28" t="s">
        <v>23</v>
      </c>
      <c r="C525" s="24" t="s">
        <v>24</v>
      </c>
      <c r="D525" s="24" t="s">
        <v>255</v>
      </c>
      <c r="E525" s="24" t="s">
        <v>256</v>
      </c>
      <c r="F525" s="24" t="s">
        <v>257</v>
      </c>
      <c r="G525" s="24" t="s">
        <v>14</v>
      </c>
      <c r="H525" s="24" t="s">
        <v>15</v>
      </c>
      <c r="I525" s="27">
        <v>1</v>
      </c>
      <c r="J525" s="42" t="s">
        <v>16</v>
      </c>
      <c r="K525" s="10">
        <v>5</v>
      </c>
    </row>
    <row r="526" spans="1:11" ht="36.75" x14ac:dyDescent="0.3">
      <c r="A526" s="22">
        <v>522</v>
      </c>
      <c r="B526" s="28" t="s">
        <v>23</v>
      </c>
      <c r="C526" s="24" t="s">
        <v>24</v>
      </c>
      <c r="D526" s="24" t="s">
        <v>258</v>
      </c>
      <c r="E526" s="24" t="s">
        <v>259</v>
      </c>
      <c r="F526" s="24" t="s">
        <v>260</v>
      </c>
      <c r="G526" s="24" t="s">
        <v>14</v>
      </c>
      <c r="H526" s="24" t="s">
        <v>15</v>
      </c>
      <c r="I526" s="27">
        <v>1</v>
      </c>
      <c r="J526" s="42" t="s">
        <v>16</v>
      </c>
      <c r="K526" s="10">
        <v>5</v>
      </c>
    </row>
    <row r="527" spans="1:11" ht="36.75" x14ac:dyDescent="0.3">
      <c r="A527" s="22">
        <v>523</v>
      </c>
      <c r="B527" s="28" t="s">
        <v>23</v>
      </c>
      <c r="C527" s="24" t="s">
        <v>24</v>
      </c>
      <c r="D527" s="24" t="s">
        <v>261</v>
      </c>
      <c r="E527" s="24" t="s">
        <v>262</v>
      </c>
      <c r="F527" s="24" t="s">
        <v>263</v>
      </c>
      <c r="G527" s="24" t="s">
        <v>14</v>
      </c>
      <c r="H527" s="24" t="s">
        <v>15</v>
      </c>
      <c r="I527" s="27">
        <v>1</v>
      </c>
      <c r="J527" s="42" t="s">
        <v>16</v>
      </c>
      <c r="K527" s="10">
        <v>5</v>
      </c>
    </row>
    <row r="528" spans="1:11" ht="36.75" x14ac:dyDescent="0.3">
      <c r="A528" s="22">
        <v>524</v>
      </c>
      <c r="B528" s="28" t="s">
        <v>23</v>
      </c>
      <c r="C528" s="24" t="s">
        <v>24</v>
      </c>
      <c r="D528" s="24" t="s">
        <v>264</v>
      </c>
      <c r="E528" s="24" t="s">
        <v>265</v>
      </c>
      <c r="F528" s="24" t="s">
        <v>266</v>
      </c>
      <c r="G528" s="24" t="s">
        <v>14</v>
      </c>
      <c r="H528" s="24" t="s">
        <v>15</v>
      </c>
      <c r="I528" s="27">
        <v>1</v>
      </c>
      <c r="J528" s="42" t="s">
        <v>16</v>
      </c>
      <c r="K528" s="10">
        <v>10</v>
      </c>
    </row>
    <row r="529" spans="1:11" ht="36.75" x14ac:dyDescent="0.3">
      <c r="A529" s="22">
        <v>525</v>
      </c>
      <c r="B529" s="28" t="s">
        <v>23</v>
      </c>
      <c r="C529" s="24" t="s">
        <v>24</v>
      </c>
      <c r="D529" s="24" t="s">
        <v>267</v>
      </c>
      <c r="E529" s="24" t="s">
        <v>268</v>
      </c>
      <c r="F529" s="24" t="s">
        <v>269</v>
      </c>
      <c r="G529" s="24" t="s">
        <v>14</v>
      </c>
      <c r="H529" s="24" t="s">
        <v>15</v>
      </c>
      <c r="I529" s="27">
        <v>1</v>
      </c>
      <c r="J529" s="42" t="s">
        <v>16</v>
      </c>
      <c r="K529" s="10">
        <v>10</v>
      </c>
    </row>
    <row r="530" spans="1:11" ht="36.75" x14ac:dyDescent="0.3">
      <c r="A530" s="22">
        <v>526</v>
      </c>
      <c r="B530" s="28" t="s">
        <v>23</v>
      </c>
      <c r="C530" s="24" t="s">
        <v>24</v>
      </c>
      <c r="D530" s="24" t="s">
        <v>270</v>
      </c>
      <c r="E530" s="24" t="s">
        <v>271</v>
      </c>
      <c r="F530" s="24" t="s">
        <v>272</v>
      </c>
      <c r="G530" s="24" t="s">
        <v>14</v>
      </c>
      <c r="H530" s="24" t="s">
        <v>15</v>
      </c>
      <c r="I530" s="27">
        <v>1</v>
      </c>
      <c r="J530" s="42" t="s">
        <v>16</v>
      </c>
      <c r="K530" s="10">
        <v>30</v>
      </c>
    </row>
    <row r="531" spans="1:11" ht="36.75" x14ac:dyDescent="0.3">
      <c r="A531" s="22">
        <v>527</v>
      </c>
      <c r="B531" s="28" t="s">
        <v>23</v>
      </c>
      <c r="C531" s="24" t="s">
        <v>24</v>
      </c>
      <c r="D531" s="24" t="s">
        <v>273</v>
      </c>
      <c r="E531" s="24" t="s">
        <v>274</v>
      </c>
      <c r="F531" s="24" t="s">
        <v>275</v>
      </c>
      <c r="G531" s="24" t="s">
        <v>14</v>
      </c>
      <c r="H531" s="24" t="s">
        <v>15</v>
      </c>
      <c r="I531" s="27">
        <v>1</v>
      </c>
      <c r="J531" s="42" t="s">
        <v>16</v>
      </c>
      <c r="K531" s="10">
        <v>5</v>
      </c>
    </row>
    <row r="532" spans="1:11" ht="36.75" x14ac:dyDescent="0.3">
      <c r="A532" s="22">
        <v>528</v>
      </c>
      <c r="B532" s="28" t="s">
        <v>23</v>
      </c>
      <c r="C532" s="24" t="s">
        <v>24</v>
      </c>
      <c r="D532" s="24" t="s">
        <v>276</v>
      </c>
      <c r="E532" s="24" t="s">
        <v>277</v>
      </c>
      <c r="F532" s="24" t="s">
        <v>275</v>
      </c>
      <c r="G532" s="24" t="s">
        <v>14</v>
      </c>
      <c r="H532" s="24" t="s">
        <v>15</v>
      </c>
      <c r="I532" s="27">
        <v>1</v>
      </c>
      <c r="J532" s="42" t="s">
        <v>16</v>
      </c>
      <c r="K532" s="10">
        <v>5</v>
      </c>
    </row>
    <row r="533" spans="1:11" ht="36.75" x14ac:dyDescent="0.3">
      <c r="A533" s="22">
        <v>529</v>
      </c>
      <c r="B533" s="28" t="s">
        <v>23</v>
      </c>
      <c r="C533" s="24" t="s">
        <v>24</v>
      </c>
      <c r="D533" s="24" t="s">
        <v>278</v>
      </c>
      <c r="E533" s="24" t="s">
        <v>279</v>
      </c>
      <c r="F533" s="24" t="s">
        <v>275</v>
      </c>
      <c r="G533" s="24" t="s">
        <v>14</v>
      </c>
      <c r="H533" s="24" t="s">
        <v>15</v>
      </c>
      <c r="I533" s="27">
        <v>1</v>
      </c>
      <c r="J533" s="42" t="s">
        <v>16</v>
      </c>
      <c r="K533" s="10">
        <v>5</v>
      </c>
    </row>
    <row r="534" spans="1:11" ht="36.75" x14ac:dyDescent="0.3">
      <c r="A534" s="22">
        <v>530</v>
      </c>
      <c r="B534" s="28" t="s">
        <v>23</v>
      </c>
      <c r="C534" s="24" t="s">
        <v>24</v>
      </c>
      <c r="D534" s="24" t="s">
        <v>280</v>
      </c>
      <c r="E534" s="24" t="s">
        <v>281</v>
      </c>
      <c r="F534" s="24" t="s">
        <v>282</v>
      </c>
      <c r="G534" s="24" t="s">
        <v>14</v>
      </c>
      <c r="H534" s="24" t="s">
        <v>15</v>
      </c>
      <c r="I534" s="27">
        <v>1</v>
      </c>
      <c r="J534" s="42" t="s">
        <v>16</v>
      </c>
      <c r="K534" s="10">
        <v>5</v>
      </c>
    </row>
    <row r="535" spans="1:11" ht="36.75" x14ac:dyDescent="0.3">
      <c r="A535" s="22">
        <v>531</v>
      </c>
      <c r="B535" s="28" t="s">
        <v>23</v>
      </c>
      <c r="C535" s="24" t="s">
        <v>24</v>
      </c>
      <c r="D535" s="24" t="s">
        <v>283</v>
      </c>
      <c r="E535" s="24" t="s">
        <v>284</v>
      </c>
      <c r="F535" s="24" t="s">
        <v>285</v>
      </c>
      <c r="G535" s="24" t="s">
        <v>14</v>
      </c>
      <c r="H535" s="24" t="s">
        <v>15</v>
      </c>
      <c r="I535" s="27">
        <v>1</v>
      </c>
      <c r="J535" s="42" t="s">
        <v>16</v>
      </c>
      <c r="K535" s="10">
        <v>5</v>
      </c>
    </row>
    <row r="536" spans="1:11" ht="36.75" x14ac:dyDescent="0.3">
      <c r="A536" s="22">
        <v>532</v>
      </c>
      <c r="B536" s="28" t="s">
        <v>23</v>
      </c>
      <c r="C536" s="24" t="s">
        <v>24</v>
      </c>
      <c r="D536" s="24" t="s">
        <v>286</v>
      </c>
      <c r="E536" s="24" t="s">
        <v>287</v>
      </c>
      <c r="F536" s="24" t="s">
        <v>288</v>
      </c>
      <c r="G536" s="24" t="s">
        <v>14</v>
      </c>
      <c r="H536" s="24" t="s">
        <v>15</v>
      </c>
      <c r="I536" s="27">
        <v>1</v>
      </c>
      <c r="J536" s="42" t="s">
        <v>16</v>
      </c>
      <c r="K536" s="10">
        <v>5</v>
      </c>
    </row>
    <row r="537" spans="1:11" ht="36.75" x14ac:dyDescent="0.3">
      <c r="A537" s="22">
        <v>533</v>
      </c>
      <c r="B537" s="28" t="s">
        <v>23</v>
      </c>
      <c r="C537" s="24" t="s">
        <v>24</v>
      </c>
      <c r="D537" s="24" t="s">
        <v>289</v>
      </c>
      <c r="E537" s="24" t="s">
        <v>290</v>
      </c>
      <c r="F537" s="24" t="s">
        <v>288</v>
      </c>
      <c r="G537" s="24" t="s">
        <v>14</v>
      </c>
      <c r="H537" s="24" t="s">
        <v>15</v>
      </c>
      <c r="I537" s="27">
        <v>1</v>
      </c>
      <c r="J537" s="42" t="s">
        <v>16</v>
      </c>
      <c r="K537" s="10">
        <v>5</v>
      </c>
    </row>
    <row r="538" spans="1:11" ht="36.75" x14ac:dyDescent="0.3">
      <c r="A538" s="22">
        <v>534</v>
      </c>
      <c r="B538" s="28" t="s">
        <v>23</v>
      </c>
      <c r="C538" s="24" t="s">
        <v>24</v>
      </c>
      <c r="D538" s="24" t="s">
        <v>291</v>
      </c>
      <c r="E538" s="24" t="s">
        <v>292</v>
      </c>
      <c r="F538" s="24" t="s">
        <v>293</v>
      </c>
      <c r="G538" s="24" t="s">
        <v>14</v>
      </c>
      <c r="H538" s="24" t="s">
        <v>15</v>
      </c>
      <c r="I538" s="27">
        <v>1</v>
      </c>
      <c r="J538" s="42" t="s">
        <v>16</v>
      </c>
      <c r="K538" s="10">
        <v>5</v>
      </c>
    </row>
    <row r="539" spans="1:11" ht="36.75" x14ac:dyDescent="0.3">
      <c r="A539" s="22">
        <v>535</v>
      </c>
      <c r="B539" s="28" t="s">
        <v>23</v>
      </c>
      <c r="C539" s="24" t="s">
        <v>24</v>
      </c>
      <c r="D539" s="24" t="s">
        <v>294</v>
      </c>
      <c r="E539" s="24" t="s">
        <v>295</v>
      </c>
      <c r="F539" s="24" t="s">
        <v>293</v>
      </c>
      <c r="G539" s="24" t="s">
        <v>14</v>
      </c>
      <c r="H539" s="24" t="s">
        <v>15</v>
      </c>
      <c r="I539" s="27">
        <v>1</v>
      </c>
      <c r="J539" s="42" t="s">
        <v>16</v>
      </c>
      <c r="K539" s="10">
        <v>5</v>
      </c>
    </row>
    <row r="540" spans="1:11" ht="36.75" x14ac:dyDescent="0.3">
      <c r="A540" s="22">
        <v>536</v>
      </c>
      <c r="B540" s="28" t="s">
        <v>23</v>
      </c>
      <c r="C540" s="24" t="s">
        <v>24</v>
      </c>
      <c r="D540" s="24" t="s">
        <v>296</v>
      </c>
      <c r="E540" s="24" t="s">
        <v>297</v>
      </c>
      <c r="F540" s="24" t="s">
        <v>298</v>
      </c>
      <c r="G540" s="24" t="s">
        <v>14</v>
      </c>
      <c r="H540" s="24" t="s">
        <v>15</v>
      </c>
      <c r="I540" s="27">
        <v>1</v>
      </c>
      <c r="J540" s="42" t="s">
        <v>16</v>
      </c>
      <c r="K540" s="10">
        <v>5</v>
      </c>
    </row>
    <row r="541" spans="1:11" ht="36.75" x14ac:dyDescent="0.3">
      <c r="A541" s="22">
        <v>537</v>
      </c>
      <c r="B541" s="28" t="s">
        <v>23</v>
      </c>
      <c r="C541" s="24" t="s">
        <v>24</v>
      </c>
      <c r="D541" s="24" t="s">
        <v>299</v>
      </c>
      <c r="E541" s="24" t="s">
        <v>300</v>
      </c>
      <c r="F541" s="24" t="s">
        <v>301</v>
      </c>
      <c r="G541" s="24" t="s">
        <v>14</v>
      </c>
      <c r="H541" s="24" t="s">
        <v>15</v>
      </c>
      <c r="I541" s="27">
        <v>1</v>
      </c>
      <c r="J541" s="42" t="s">
        <v>16</v>
      </c>
      <c r="K541" s="10">
        <v>5</v>
      </c>
    </row>
    <row r="542" spans="1:11" ht="36.75" x14ac:dyDescent="0.3">
      <c r="A542" s="22">
        <v>538</v>
      </c>
      <c r="B542" s="28" t="s">
        <v>23</v>
      </c>
      <c r="C542" s="24" t="s">
        <v>24</v>
      </c>
      <c r="D542" s="24" t="s">
        <v>302</v>
      </c>
      <c r="E542" s="24" t="s">
        <v>303</v>
      </c>
      <c r="F542" s="24" t="s">
        <v>304</v>
      </c>
      <c r="G542" s="24" t="s">
        <v>14</v>
      </c>
      <c r="H542" s="24" t="s">
        <v>15</v>
      </c>
      <c r="I542" s="27">
        <v>1</v>
      </c>
      <c r="J542" s="42" t="s">
        <v>16</v>
      </c>
      <c r="K542" s="10">
        <v>5</v>
      </c>
    </row>
    <row r="543" spans="1:11" ht="36.75" x14ac:dyDescent="0.3">
      <c r="A543" s="22">
        <v>539</v>
      </c>
      <c r="B543" s="28" t="s">
        <v>23</v>
      </c>
      <c r="C543" s="24" t="s">
        <v>24</v>
      </c>
      <c r="D543" s="24" t="s">
        <v>305</v>
      </c>
      <c r="E543" s="24" t="s">
        <v>306</v>
      </c>
      <c r="F543" s="24" t="s">
        <v>307</v>
      </c>
      <c r="G543" s="24" t="s">
        <v>14</v>
      </c>
      <c r="H543" s="24" t="s">
        <v>15</v>
      </c>
      <c r="I543" s="27">
        <v>1</v>
      </c>
      <c r="J543" s="42" t="s">
        <v>16</v>
      </c>
      <c r="K543" s="10">
        <v>5</v>
      </c>
    </row>
    <row r="544" spans="1:11" ht="36.75" x14ac:dyDescent="0.3">
      <c r="A544" s="22">
        <v>540</v>
      </c>
      <c r="B544" s="28" t="s">
        <v>23</v>
      </c>
      <c r="C544" s="24" t="s">
        <v>24</v>
      </c>
      <c r="D544" s="24" t="s">
        <v>308</v>
      </c>
      <c r="E544" s="24" t="s">
        <v>309</v>
      </c>
      <c r="F544" s="24" t="s">
        <v>307</v>
      </c>
      <c r="G544" s="24" t="s">
        <v>14</v>
      </c>
      <c r="H544" s="24" t="s">
        <v>15</v>
      </c>
      <c r="I544" s="27">
        <v>1</v>
      </c>
      <c r="J544" s="42" t="s">
        <v>16</v>
      </c>
      <c r="K544" s="10">
        <v>5</v>
      </c>
    </row>
    <row r="545" spans="1:11" ht="36.75" x14ac:dyDescent="0.3">
      <c r="A545" s="22">
        <v>541</v>
      </c>
      <c r="B545" s="28" t="s">
        <v>23</v>
      </c>
      <c r="C545" s="24" t="s">
        <v>24</v>
      </c>
      <c r="D545" s="24" t="s">
        <v>310</v>
      </c>
      <c r="E545" s="24" t="s">
        <v>311</v>
      </c>
      <c r="F545" s="24" t="s">
        <v>307</v>
      </c>
      <c r="G545" s="24" t="s">
        <v>14</v>
      </c>
      <c r="H545" s="24" t="s">
        <v>15</v>
      </c>
      <c r="I545" s="27">
        <v>1</v>
      </c>
      <c r="J545" s="42" t="s">
        <v>16</v>
      </c>
      <c r="K545" s="10">
        <v>5</v>
      </c>
    </row>
    <row r="546" spans="1:11" ht="36.75" x14ac:dyDescent="0.3">
      <c r="A546" s="22">
        <v>542</v>
      </c>
      <c r="B546" s="28" t="s">
        <v>23</v>
      </c>
      <c r="C546" s="24" t="s">
        <v>24</v>
      </c>
      <c r="D546" s="24" t="s">
        <v>312</v>
      </c>
      <c r="E546" s="24" t="s">
        <v>313</v>
      </c>
      <c r="F546" s="24" t="s">
        <v>307</v>
      </c>
      <c r="G546" s="24" t="s">
        <v>14</v>
      </c>
      <c r="H546" s="24" t="s">
        <v>15</v>
      </c>
      <c r="I546" s="27">
        <v>1</v>
      </c>
      <c r="J546" s="42" t="s">
        <v>16</v>
      </c>
      <c r="K546" s="10">
        <v>5</v>
      </c>
    </row>
    <row r="547" spans="1:11" ht="36.75" x14ac:dyDescent="0.3">
      <c r="A547" s="22">
        <v>543</v>
      </c>
      <c r="B547" s="28" t="s">
        <v>23</v>
      </c>
      <c r="C547" s="24" t="s">
        <v>24</v>
      </c>
      <c r="D547" s="24" t="s">
        <v>314</v>
      </c>
      <c r="E547" s="24" t="s">
        <v>315</v>
      </c>
      <c r="F547" s="24" t="s">
        <v>307</v>
      </c>
      <c r="G547" s="24" t="s">
        <v>14</v>
      </c>
      <c r="H547" s="24" t="s">
        <v>15</v>
      </c>
      <c r="I547" s="27">
        <v>1</v>
      </c>
      <c r="J547" s="42" t="s">
        <v>16</v>
      </c>
      <c r="K547" s="10">
        <v>5</v>
      </c>
    </row>
    <row r="548" spans="1:11" ht="36.75" x14ac:dyDescent="0.3">
      <c r="A548" s="22">
        <v>544</v>
      </c>
      <c r="B548" s="28" t="s">
        <v>23</v>
      </c>
      <c r="C548" s="24" t="s">
        <v>24</v>
      </c>
      <c r="D548" s="24" t="s">
        <v>316</v>
      </c>
      <c r="E548" s="24" t="s">
        <v>317</v>
      </c>
      <c r="F548" s="24" t="s">
        <v>318</v>
      </c>
      <c r="G548" s="24" t="s">
        <v>14</v>
      </c>
      <c r="H548" s="24" t="s">
        <v>15</v>
      </c>
      <c r="I548" s="27">
        <v>1</v>
      </c>
      <c r="J548" s="42" t="s">
        <v>16</v>
      </c>
      <c r="K548" s="10">
        <v>5</v>
      </c>
    </row>
    <row r="549" spans="1:11" ht="36.75" x14ac:dyDescent="0.3">
      <c r="A549" s="22">
        <v>545</v>
      </c>
      <c r="B549" s="28" t="s">
        <v>23</v>
      </c>
      <c r="C549" s="24" t="s">
        <v>24</v>
      </c>
      <c r="D549" s="24" t="s">
        <v>319</v>
      </c>
      <c r="E549" s="24" t="s">
        <v>320</v>
      </c>
      <c r="F549" s="24" t="s">
        <v>321</v>
      </c>
      <c r="G549" s="24" t="s">
        <v>14</v>
      </c>
      <c r="H549" s="24" t="s">
        <v>15</v>
      </c>
      <c r="I549" s="27">
        <v>1</v>
      </c>
      <c r="J549" s="42" t="s">
        <v>16</v>
      </c>
      <c r="K549" s="10">
        <v>5</v>
      </c>
    </row>
    <row r="550" spans="1:11" ht="36.75" x14ac:dyDescent="0.3">
      <c r="A550" s="22">
        <v>546</v>
      </c>
      <c r="B550" s="28" t="s">
        <v>23</v>
      </c>
      <c r="C550" s="24" t="s">
        <v>24</v>
      </c>
      <c r="D550" s="24" t="s">
        <v>322</v>
      </c>
      <c r="E550" s="24" t="s">
        <v>323</v>
      </c>
      <c r="F550" s="24" t="s">
        <v>321</v>
      </c>
      <c r="G550" s="24" t="s">
        <v>14</v>
      </c>
      <c r="H550" s="24" t="s">
        <v>15</v>
      </c>
      <c r="I550" s="27">
        <v>1</v>
      </c>
      <c r="J550" s="42" t="s">
        <v>16</v>
      </c>
      <c r="K550" s="10">
        <v>5</v>
      </c>
    </row>
    <row r="551" spans="1:11" ht="36.75" x14ac:dyDescent="0.3">
      <c r="A551" s="22">
        <v>547</v>
      </c>
      <c r="B551" s="28" t="s">
        <v>23</v>
      </c>
      <c r="C551" s="24" t="s">
        <v>24</v>
      </c>
      <c r="D551" s="24" t="s">
        <v>324</v>
      </c>
      <c r="E551" s="24" t="s">
        <v>325</v>
      </c>
      <c r="F551" s="24" t="s">
        <v>326</v>
      </c>
      <c r="G551" s="24" t="s">
        <v>14</v>
      </c>
      <c r="H551" s="24" t="s">
        <v>15</v>
      </c>
      <c r="I551" s="27">
        <v>1</v>
      </c>
      <c r="J551" s="42" t="s">
        <v>16</v>
      </c>
      <c r="K551" s="10">
        <v>5</v>
      </c>
    </row>
    <row r="552" spans="1:11" ht="36.75" x14ac:dyDescent="0.3">
      <c r="A552" s="22">
        <v>548</v>
      </c>
      <c r="B552" s="28" t="s">
        <v>23</v>
      </c>
      <c r="C552" s="24" t="s">
        <v>24</v>
      </c>
      <c r="D552" s="24" t="s">
        <v>327</v>
      </c>
      <c r="E552" s="24" t="s">
        <v>328</v>
      </c>
      <c r="F552" s="24" t="s">
        <v>326</v>
      </c>
      <c r="G552" s="24" t="s">
        <v>14</v>
      </c>
      <c r="H552" s="24" t="s">
        <v>15</v>
      </c>
      <c r="I552" s="27">
        <v>1</v>
      </c>
      <c r="J552" s="42" t="s">
        <v>16</v>
      </c>
      <c r="K552" s="10">
        <v>5</v>
      </c>
    </row>
    <row r="553" spans="1:11" ht="36.75" x14ac:dyDescent="0.3">
      <c r="A553" s="22">
        <v>549</v>
      </c>
      <c r="B553" s="28" t="s">
        <v>23</v>
      </c>
      <c r="C553" s="24" t="s">
        <v>24</v>
      </c>
      <c r="D553" s="24" t="s">
        <v>329</v>
      </c>
      <c r="E553" s="24" t="s">
        <v>330</v>
      </c>
      <c r="F553" s="24" t="s">
        <v>326</v>
      </c>
      <c r="G553" s="24" t="s">
        <v>14</v>
      </c>
      <c r="H553" s="24" t="s">
        <v>15</v>
      </c>
      <c r="I553" s="27">
        <v>1</v>
      </c>
      <c r="J553" s="42" t="s">
        <v>16</v>
      </c>
      <c r="K553" s="10">
        <v>5</v>
      </c>
    </row>
    <row r="554" spans="1:11" ht="36.75" x14ac:dyDescent="0.3">
      <c r="A554" s="22">
        <v>550</v>
      </c>
      <c r="B554" s="28" t="s">
        <v>23</v>
      </c>
      <c r="C554" s="24" t="s">
        <v>24</v>
      </c>
      <c r="D554" s="24" t="s">
        <v>331</v>
      </c>
      <c r="E554" s="24" t="s">
        <v>332</v>
      </c>
      <c r="F554" s="24" t="s">
        <v>326</v>
      </c>
      <c r="G554" s="24" t="s">
        <v>14</v>
      </c>
      <c r="H554" s="24" t="s">
        <v>15</v>
      </c>
      <c r="I554" s="27">
        <v>1</v>
      </c>
      <c r="J554" s="42" t="s">
        <v>16</v>
      </c>
      <c r="K554" s="10">
        <v>5</v>
      </c>
    </row>
    <row r="555" spans="1:11" ht="36.75" x14ac:dyDescent="0.3">
      <c r="A555" s="22">
        <v>551</v>
      </c>
      <c r="B555" s="28" t="s">
        <v>23</v>
      </c>
      <c r="C555" s="24" t="s">
        <v>24</v>
      </c>
      <c r="D555" s="24" t="s">
        <v>333</v>
      </c>
      <c r="E555" s="24" t="s">
        <v>334</v>
      </c>
      <c r="F555" s="24" t="s">
        <v>326</v>
      </c>
      <c r="G555" s="24" t="s">
        <v>14</v>
      </c>
      <c r="H555" s="24" t="s">
        <v>15</v>
      </c>
      <c r="I555" s="27">
        <v>1</v>
      </c>
      <c r="J555" s="42" t="s">
        <v>16</v>
      </c>
      <c r="K555" s="10">
        <v>5</v>
      </c>
    </row>
    <row r="556" spans="1:11" ht="36.75" x14ac:dyDescent="0.3">
      <c r="A556" s="22">
        <v>552</v>
      </c>
      <c r="B556" s="28" t="s">
        <v>23</v>
      </c>
      <c r="C556" s="24" t="s">
        <v>24</v>
      </c>
      <c r="D556" s="24" t="s">
        <v>335</v>
      </c>
      <c r="E556" s="24" t="s">
        <v>336</v>
      </c>
      <c r="F556" s="24" t="s">
        <v>326</v>
      </c>
      <c r="G556" s="24" t="s">
        <v>14</v>
      </c>
      <c r="H556" s="24" t="s">
        <v>15</v>
      </c>
      <c r="I556" s="27">
        <v>1</v>
      </c>
      <c r="J556" s="42" t="s">
        <v>16</v>
      </c>
      <c r="K556" s="10">
        <v>5</v>
      </c>
    </row>
    <row r="557" spans="1:11" ht="36.75" x14ac:dyDescent="0.3">
      <c r="A557" s="22">
        <v>553</v>
      </c>
      <c r="B557" s="28" t="s">
        <v>23</v>
      </c>
      <c r="C557" s="24" t="s">
        <v>24</v>
      </c>
      <c r="D557" s="24" t="s">
        <v>337</v>
      </c>
      <c r="E557" s="24" t="s">
        <v>338</v>
      </c>
      <c r="F557" s="24" t="s">
        <v>339</v>
      </c>
      <c r="G557" s="24" t="s">
        <v>14</v>
      </c>
      <c r="H557" s="24" t="s">
        <v>15</v>
      </c>
      <c r="I557" s="27">
        <v>1</v>
      </c>
      <c r="J557" s="42" t="s">
        <v>16</v>
      </c>
      <c r="K557" s="10">
        <v>5</v>
      </c>
    </row>
    <row r="558" spans="1:11" ht="36.75" x14ac:dyDescent="0.3">
      <c r="A558" s="22">
        <v>554</v>
      </c>
      <c r="B558" s="28" t="s">
        <v>23</v>
      </c>
      <c r="C558" s="24" t="s">
        <v>24</v>
      </c>
      <c r="D558" s="24" t="s">
        <v>340</v>
      </c>
      <c r="E558" s="24" t="s">
        <v>341</v>
      </c>
      <c r="F558" s="24" t="s">
        <v>339</v>
      </c>
      <c r="G558" s="24" t="s">
        <v>14</v>
      </c>
      <c r="H558" s="24" t="s">
        <v>15</v>
      </c>
      <c r="I558" s="27">
        <v>1</v>
      </c>
      <c r="J558" s="42" t="s">
        <v>16</v>
      </c>
      <c r="K558" s="10">
        <v>5</v>
      </c>
    </row>
    <row r="559" spans="1:11" ht="36.75" x14ac:dyDescent="0.3">
      <c r="A559" s="22">
        <v>555</v>
      </c>
      <c r="B559" s="28" t="s">
        <v>23</v>
      </c>
      <c r="C559" s="24" t="s">
        <v>24</v>
      </c>
      <c r="D559" s="24" t="s">
        <v>342</v>
      </c>
      <c r="E559" s="24" t="s">
        <v>343</v>
      </c>
      <c r="F559" s="24" t="s">
        <v>339</v>
      </c>
      <c r="G559" s="24" t="s">
        <v>14</v>
      </c>
      <c r="H559" s="24" t="s">
        <v>15</v>
      </c>
      <c r="I559" s="27">
        <v>1</v>
      </c>
      <c r="J559" s="42" t="s">
        <v>16</v>
      </c>
      <c r="K559" s="10">
        <v>5</v>
      </c>
    </row>
    <row r="560" spans="1:11" ht="36.75" x14ac:dyDescent="0.3">
      <c r="A560" s="22">
        <v>556</v>
      </c>
      <c r="B560" s="28" t="s">
        <v>23</v>
      </c>
      <c r="C560" s="24" t="s">
        <v>24</v>
      </c>
      <c r="D560" s="24" t="s">
        <v>344</v>
      </c>
      <c r="E560" s="24" t="s">
        <v>345</v>
      </c>
      <c r="F560" s="24" t="s">
        <v>346</v>
      </c>
      <c r="G560" s="24" t="s">
        <v>14</v>
      </c>
      <c r="H560" s="24" t="s">
        <v>15</v>
      </c>
      <c r="I560" s="27">
        <v>1</v>
      </c>
      <c r="J560" s="42" t="s">
        <v>16</v>
      </c>
      <c r="K560" s="10">
        <v>5</v>
      </c>
    </row>
    <row r="561" spans="1:11" ht="36.75" x14ac:dyDescent="0.3">
      <c r="A561" s="22">
        <v>557</v>
      </c>
      <c r="B561" s="28" t="s">
        <v>23</v>
      </c>
      <c r="C561" s="24" t="s">
        <v>24</v>
      </c>
      <c r="D561" s="24" t="s">
        <v>347</v>
      </c>
      <c r="E561" s="24" t="s">
        <v>348</v>
      </c>
      <c r="F561" s="24" t="s">
        <v>346</v>
      </c>
      <c r="G561" s="24" t="s">
        <v>14</v>
      </c>
      <c r="H561" s="24" t="s">
        <v>15</v>
      </c>
      <c r="I561" s="27">
        <v>1</v>
      </c>
      <c r="J561" s="42" t="s">
        <v>16</v>
      </c>
      <c r="K561" s="10">
        <v>5</v>
      </c>
    </row>
    <row r="562" spans="1:11" ht="36.75" x14ac:dyDescent="0.3">
      <c r="A562" s="22">
        <v>558</v>
      </c>
      <c r="B562" s="28" t="s">
        <v>23</v>
      </c>
      <c r="C562" s="24" t="s">
        <v>24</v>
      </c>
      <c r="D562" s="24" t="s">
        <v>349</v>
      </c>
      <c r="E562" s="24" t="s">
        <v>350</v>
      </c>
      <c r="F562" s="24" t="s">
        <v>351</v>
      </c>
      <c r="G562" s="24" t="s">
        <v>14</v>
      </c>
      <c r="H562" s="24" t="s">
        <v>15</v>
      </c>
      <c r="I562" s="27">
        <v>1</v>
      </c>
      <c r="J562" s="42" t="s">
        <v>16</v>
      </c>
      <c r="K562" s="10">
        <v>5</v>
      </c>
    </row>
    <row r="563" spans="1:11" ht="36.75" x14ac:dyDescent="0.3">
      <c r="A563" s="22">
        <v>559</v>
      </c>
      <c r="B563" s="28" t="s">
        <v>23</v>
      </c>
      <c r="C563" s="24" t="s">
        <v>24</v>
      </c>
      <c r="D563" s="24" t="s">
        <v>352</v>
      </c>
      <c r="E563" s="24" t="s">
        <v>353</v>
      </c>
      <c r="F563" s="24" t="s">
        <v>354</v>
      </c>
      <c r="G563" s="24" t="s">
        <v>14</v>
      </c>
      <c r="H563" s="24" t="s">
        <v>15</v>
      </c>
      <c r="I563" s="27">
        <v>1</v>
      </c>
      <c r="J563" s="42" t="s">
        <v>16</v>
      </c>
      <c r="K563" s="10">
        <v>5</v>
      </c>
    </row>
    <row r="564" spans="1:11" ht="36.75" x14ac:dyDescent="0.3">
      <c r="A564" s="22">
        <v>560</v>
      </c>
      <c r="B564" s="28" t="s">
        <v>23</v>
      </c>
      <c r="C564" s="24" t="s">
        <v>24</v>
      </c>
      <c r="D564" s="24" t="s">
        <v>355</v>
      </c>
      <c r="E564" s="24" t="s">
        <v>356</v>
      </c>
      <c r="F564" s="24" t="s">
        <v>357</v>
      </c>
      <c r="G564" s="24" t="s">
        <v>14</v>
      </c>
      <c r="H564" s="24" t="s">
        <v>15</v>
      </c>
      <c r="I564" s="27">
        <v>1</v>
      </c>
      <c r="J564" s="42" t="s">
        <v>16</v>
      </c>
      <c r="K564" s="10">
        <v>5</v>
      </c>
    </row>
    <row r="565" spans="1:11" ht="36.75" x14ac:dyDescent="0.3">
      <c r="A565" s="22">
        <v>561</v>
      </c>
      <c r="B565" s="28" t="s">
        <v>23</v>
      </c>
      <c r="C565" s="24" t="s">
        <v>24</v>
      </c>
      <c r="D565" s="24" t="s">
        <v>358</v>
      </c>
      <c r="E565" s="24" t="s">
        <v>359</v>
      </c>
      <c r="F565" s="24" t="s">
        <v>360</v>
      </c>
      <c r="G565" s="24" t="s">
        <v>14</v>
      </c>
      <c r="H565" s="24" t="s">
        <v>15</v>
      </c>
      <c r="I565" s="27">
        <v>1</v>
      </c>
      <c r="J565" s="42" t="s">
        <v>16</v>
      </c>
      <c r="K565" s="10">
        <v>5</v>
      </c>
    </row>
    <row r="566" spans="1:11" ht="36.75" x14ac:dyDescent="0.3">
      <c r="A566" s="22">
        <v>562</v>
      </c>
      <c r="B566" s="28" t="s">
        <v>23</v>
      </c>
      <c r="C566" s="24" t="s">
        <v>24</v>
      </c>
      <c r="D566" s="24" t="s">
        <v>361</v>
      </c>
      <c r="E566" s="24" t="s">
        <v>362</v>
      </c>
      <c r="F566" s="24" t="s">
        <v>363</v>
      </c>
      <c r="G566" s="24" t="s">
        <v>14</v>
      </c>
      <c r="H566" s="24" t="s">
        <v>15</v>
      </c>
      <c r="I566" s="27">
        <v>1</v>
      </c>
      <c r="J566" s="42" t="s">
        <v>16</v>
      </c>
      <c r="K566" s="10">
        <v>5</v>
      </c>
    </row>
    <row r="567" spans="1:11" ht="36.75" x14ac:dyDescent="0.3">
      <c r="A567" s="22">
        <v>563</v>
      </c>
      <c r="B567" s="28" t="s">
        <v>23</v>
      </c>
      <c r="C567" s="24" t="s">
        <v>24</v>
      </c>
      <c r="D567" s="24" t="s">
        <v>364</v>
      </c>
      <c r="E567" s="24" t="s">
        <v>365</v>
      </c>
      <c r="F567" s="24" t="s">
        <v>366</v>
      </c>
      <c r="G567" s="24" t="s">
        <v>14</v>
      </c>
      <c r="H567" s="24" t="s">
        <v>15</v>
      </c>
      <c r="I567" s="27">
        <v>1</v>
      </c>
      <c r="J567" s="42" t="s">
        <v>16</v>
      </c>
      <c r="K567" s="10">
        <v>5</v>
      </c>
    </row>
    <row r="568" spans="1:11" ht="36.75" x14ac:dyDescent="0.3">
      <c r="A568" s="22">
        <v>564</v>
      </c>
      <c r="B568" s="28" t="s">
        <v>23</v>
      </c>
      <c r="C568" s="24" t="s">
        <v>24</v>
      </c>
      <c r="D568" s="24" t="s">
        <v>367</v>
      </c>
      <c r="E568" s="24" t="s">
        <v>368</v>
      </c>
      <c r="F568" s="24" t="s">
        <v>369</v>
      </c>
      <c r="G568" s="24" t="s">
        <v>14</v>
      </c>
      <c r="H568" s="24" t="s">
        <v>15</v>
      </c>
      <c r="I568" s="27">
        <v>1</v>
      </c>
      <c r="J568" s="42" t="s">
        <v>16</v>
      </c>
      <c r="K568" s="10">
        <v>5</v>
      </c>
    </row>
    <row r="569" spans="1:11" ht="36.75" x14ac:dyDescent="0.3">
      <c r="A569" s="22">
        <v>565</v>
      </c>
      <c r="B569" s="28" t="s">
        <v>23</v>
      </c>
      <c r="C569" s="24" t="s">
        <v>24</v>
      </c>
      <c r="D569" s="24" t="s">
        <v>370</v>
      </c>
      <c r="E569" s="24" t="s">
        <v>371</v>
      </c>
      <c r="F569" s="24" t="s">
        <v>372</v>
      </c>
      <c r="G569" s="24" t="s">
        <v>14</v>
      </c>
      <c r="H569" s="24" t="s">
        <v>15</v>
      </c>
      <c r="I569" s="27">
        <v>1</v>
      </c>
      <c r="J569" s="42" t="s">
        <v>16</v>
      </c>
      <c r="K569" s="10">
        <v>5</v>
      </c>
    </row>
    <row r="570" spans="1:11" ht="36.75" x14ac:dyDescent="0.3">
      <c r="A570" s="22">
        <v>566</v>
      </c>
      <c r="B570" s="28" t="s">
        <v>23</v>
      </c>
      <c r="C570" s="24" t="s">
        <v>24</v>
      </c>
      <c r="D570" s="24" t="s">
        <v>373</v>
      </c>
      <c r="E570" s="24" t="s">
        <v>374</v>
      </c>
      <c r="F570" s="24" t="s">
        <v>372</v>
      </c>
      <c r="G570" s="24" t="s">
        <v>14</v>
      </c>
      <c r="H570" s="24" t="s">
        <v>15</v>
      </c>
      <c r="I570" s="27">
        <v>1</v>
      </c>
      <c r="J570" s="42" t="s">
        <v>16</v>
      </c>
      <c r="K570" s="10">
        <v>5</v>
      </c>
    </row>
    <row r="571" spans="1:11" ht="36.75" x14ac:dyDescent="0.3">
      <c r="A571" s="22">
        <v>567</v>
      </c>
      <c r="B571" s="28" t="s">
        <v>23</v>
      </c>
      <c r="C571" s="24" t="s">
        <v>24</v>
      </c>
      <c r="D571" s="24" t="s">
        <v>375</v>
      </c>
      <c r="E571" s="24" t="s">
        <v>376</v>
      </c>
      <c r="F571" s="24" t="s">
        <v>377</v>
      </c>
      <c r="G571" s="24" t="s">
        <v>14</v>
      </c>
      <c r="H571" s="24" t="s">
        <v>15</v>
      </c>
      <c r="I571" s="27">
        <v>1</v>
      </c>
      <c r="J571" s="42" t="s">
        <v>16</v>
      </c>
      <c r="K571" s="10">
        <v>5</v>
      </c>
    </row>
    <row r="572" spans="1:11" ht="36.75" x14ac:dyDescent="0.3">
      <c r="A572" s="22">
        <v>568</v>
      </c>
      <c r="B572" s="28" t="s">
        <v>23</v>
      </c>
      <c r="C572" s="24" t="s">
        <v>24</v>
      </c>
      <c r="D572" s="24" t="s">
        <v>378</v>
      </c>
      <c r="E572" s="24" t="s">
        <v>379</v>
      </c>
      <c r="F572" s="24" t="s">
        <v>380</v>
      </c>
      <c r="G572" s="24" t="s">
        <v>14</v>
      </c>
      <c r="H572" s="24" t="s">
        <v>15</v>
      </c>
      <c r="I572" s="27">
        <v>1</v>
      </c>
      <c r="J572" s="42" t="s">
        <v>16</v>
      </c>
      <c r="K572" s="10">
        <v>5</v>
      </c>
    </row>
    <row r="573" spans="1:11" ht="36.75" x14ac:dyDescent="0.3">
      <c r="A573" s="22">
        <v>569</v>
      </c>
      <c r="B573" s="28" t="s">
        <v>23</v>
      </c>
      <c r="C573" s="24" t="s">
        <v>24</v>
      </c>
      <c r="D573" s="24" t="s">
        <v>381</v>
      </c>
      <c r="E573" s="24" t="s">
        <v>382</v>
      </c>
      <c r="F573" s="24" t="s">
        <v>383</v>
      </c>
      <c r="G573" s="24" t="s">
        <v>14</v>
      </c>
      <c r="H573" s="24" t="s">
        <v>15</v>
      </c>
      <c r="I573" s="27">
        <v>1</v>
      </c>
      <c r="J573" s="42" t="s">
        <v>16</v>
      </c>
      <c r="K573" s="10">
        <v>5</v>
      </c>
    </row>
    <row r="574" spans="1:11" ht="36.75" x14ac:dyDescent="0.3">
      <c r="A574" s="22">
        <v>570</v>
      </c>
      <c r="B574" s="28" t="s">
        <v>23</v>
      </c>
      <c r="C574" s="24" t="s">
        <v>24</v>
      </c>
      <c r="D574" s="24" t="s">
        <v>384</v>
      </c>
      <c r="E574" s="24" t="s">
        <v>385</v>
      </c>
      <c r="F574" s="24" t="s">
        <v>386</v>
      </c>
      <c r="G574" s="24" t="s">
        <v>14</v>
      </c>
      <c r="H574" s="24" t="s">
        <v>15</v>
      </c>
      <c r="I574" s="27">
        <v>1</v>
      </c>
      <c r="J574" s="42" t="s">
        <v>16</v>
      </c>
      <c r="K574" s="10">
        <v>5</v>
      </c>
    </row>
    <row r="575" spans="1:11" ht="36.75" x14ac:dyDescent="0.3">
      <c r="A575" s="22">
        <v>571</v>
      </c>
      <c r="B575" s="28" t="s">
        <v>23</v>
      </c>
      <c r="C575" s="24" t="s">
        <v>24</v>
      </c>
      <c r="D575" s="24" t="s">
        <v>387</v>
      </c>
      <c r="E575" s="24" t="s">
        <v>388</v>
      </c>
      <c r="F575" s="24" t="s">
        <v>389</v>
      </c>
      <c r="G575" s="24" t="s">
        <v>14</v>
      </c>
      <c r="H575" s="24" t="s">
        <v>15</v>
      </c>
      <c r="I575" s="27">
        <v>1</v>
      </c>
      <c r="J575" s="42" t="s">
        <v>16</v>
      </c>
      <c r="K575" s="10">
        <v>5</v>
      </c>
    </row>
    <row r="576" spans="1:11" ht="36.75" x14ac:dyDescent="0.3">
      <c r="A576" s="22">
        <v>572</v>
      </c>
      <c r="B576" s="28" t="s">
        <v>23</v>
      </c>
      <c r="C576" s="24" t="s">
        <v>24</v>
      </c>
      <c r="D576" s="24" t="s">
        <v>390</v>
      </c>
      <c r="E576" s="24" t="s">
        <v>391</v>
      </c>
      <c r="F576" s="24" t="s">
        <v>392</v>
      </c>
      <c r="G576" s="24" t="s">
        <v>14</v>
      </c>
      <c r="H576" s="24" t="s">
        <v>15</v>
      </c>
      <c r="I576" s="27">
        <v>1</v>
      </c>
      <c r="J576" s="42" t="s">
        <v>16</v>
      </c>
      <c r="K576" s="10">
        <v>5</v>
      </c>
    </row>
    <row r="577" spans="1:11" ht="36.75" x14ac:dyDescent="0.3">
      <c r="A577" s="22">
        <v>573</v>
      </c>
      <c r="B577" s="28" t="s">
        <v>23</v>
      </c>
      <c r="C577" s="24" t="s">
        <v>24</v>
      </c>
      <c r="D577" s="24" t="s">
        <v>393</v>
      </c>
      <c r="E577" s="24" t="s">
        <v>394</v>
      </c>
      <c r="F577" s="24" t="s">
        <v>392</v>
      </c>
      <c r="G577" s="24" t="s">
        <v>14</v>
      </c>
      <c r="H577" s="24" t="s">
        <v>15</v>
      </c>
      <c r="I577" s="27">
        <v>1</v>
      </c>
      <c r="J577" s="42" t="s">
        <v>16</v>
      </c>
      <c r="K577" s="10">
        <v>5</v>
      </c>
    </row>
    <row r="578" spans="1:11" ht="36.75" x14ac:dyDescent="0.3">
      <c r="A578" s="22">
        <v>574</v>
      </c>
      <c r="B578" s="28" t="s">
        <v>23</v>
      </c>
      <c r="C578" s="24" t="s">
        <v>24</v>
      </c>
      <c r="D578" s="24" t="s">
        <v>395</v>
      </c>
      <c r="E578" s="24" t="s">
        <v>396</v>
      </c>
      <c r="F578" s="24" t="s">
        <v>397</v>
      </c>
      <c r="G578" s="24" t="s">
        <v>14</v>
      </c>
      <c r="H578" s="24" t="s">
        <v>15</v>
      </c>
      <c r="I578" s="27">
        <v>1</v>
      </c>
      <c r="J578" s="42" t="s">
        <v>16</v>
      </c>
      <c r="K578" s="10">
        <v>5</v>
      </c>
    </row>
    <row r="579" spans="1:11" ht="36.75" x14ac:dyDescent="0.3">
      <c r="A579" s="22">
        <v>575</v>
      </c>
      <c r="B579" s="28" t="s">
        <v>23</v>
      </c>
      <c r="C579" s="24" t="s">
        <v>24</v>
      </c>
      <c r="D579" s="24" t="s">
        <v>398</v>
      </c>
      <c r="E579" s="24" t="s">
        <v>399</v>
      </c>
      <c r="F579" s="24" t="s">
        <v>397</v>
      </c>
      <c r="G579" s="24" t="s">
        <v>14</v>
      </c>
      <c r="H579" s="24" t="s">
        <v>15</v>
      </c>
      <c r="I579" s="27">
        <v>1</v>
      </c>
      <c r="J579" s="42" t="s">
        <v>16</v>
      </c>
      <c r="K579" s="10">
        <v>5</v>
      </c>
    </row>
    <row r="580" spans="1:11" ht="36.75" x14ac:dyDescent="0.3">
      <c r="A580" s="22">
        <v>576</v>
      </c>
      <c r="B580" s="28" t="s">
        <v>23</v>
      </c>
      <c r="C580" s="24" t="s">
        <v>24</v>
      </c>
      <c r="D580" s="24" t="s">
        <v>400</v>
      </c>
      <c r="E580" s="24" t="s">
        <v>401</v>
      </c>
      <c r="F580" s="24" t="s">
        <v>402</v>
      </c>
      <c r="G580" s="24" t="s">
        <v>14</v>
      </c>
      <c r="H580" s="24" t="s">
        <v>15</v>
      </c>
      <c r="I580" s="27">
        <v>1</v>
      </c>
      <c r="J580" s="42" t="s">
        <v>16</v>
      </c>
      <c r="K580" s="10">
        <v>5</v>
      </c>
    </row>
    <row r="581" spans="1:11" ht="36.75" x14ac:dyDescent="0.3">
      <c r="A581" s="22">
        <v>577</v>
      </c>
      <c r="B581" s="28" t="s">
        <v>23</v>
      </c>
      <c r="C581" s="24" t="s">
        <v>24</v>
      </c>
      <c r="D581" s="24" t="s">
        <v>403</v>
      </c>
      <c r="E581" s="24" t="s">
        <v>404</v>
      </c>
      <c r="F581" s="24" t="s">
        <v>227</v>
      </c>
      <c r="G581" s="24" t="s">
        <v>14</v>
      </c>
      <c r="H581" s="24" t="s">
        <v>15</v>
      </c>
      <c r="I581" s="27">
        <v>1</v>
      </c>
      <c r="J581" s="42" t="s">
        <v>16</v>
      </c>
      <c r="K581" s="10">
        <v>5</v>
      </c>
    </row>
    <row r="582" spans="1:11" ht="36.75" x14ac:dyDescent="0.3">
      <c r="A582" s="22">
        <v>578</v>
      </c>
      <c r="B582" s="28" t="s">
        <v>23</v>
      </c>
      <c r="C582" s="24" t="s">
        <v>24</v>
      </c>
      <c r="D582" s="24" t="s">
        <v>405</v>
      </c>
      <c r="E582" s="24" t="s">
        <v>406</v>
      </c>
      <c r="F582" s="24" t="s">
        <v>407</v>
      </c>
      <c r="G582" s="24" t="s">
        <v>14</v>
      </c>
      <c r="H582" s="24" t="s">
        <v>15</v>
      </c>
      <c r="I582" s="27">
        <v>1</v>
      </c>
      <c r="J582" s="42" t="s">
        <v>16</v>
      </c>
      <c r="K582" s="10">
        <v>5</v>
      </c>
    </row>
    <row r="583" spans="1:11" ht="36.75" x14ac:dyDescent="0.3">
      <c r="A583" s="22">
        <v>579</v>
      </c>
      <c r="B583" s="28" t="s">
        <v>23</v>
      </c>
      <c r="C583" s="24" t="s">
        <v>24</v>
      </c>
      <c r="D583" s="24" t="s">
        <v>408</v>
      </c>
      <c r="E583" s="24" t="s">
        <v>409</v>
      </c>
      <c r="F583" s="24" t="s">
        <v>407</v>
      </c>
      <c r="G583" s="24" t="s">
        <v>14</v>
      </c>
      <c r="H583" s="24" t="s">
        <v>15</v>
      </c>
      <c r="I583" s="27">
        <v>1</v>
      </c>
      <c r="J583" s="42" t="s">
        <v>16</v>
      </c>
      <c r="K583" s="10">
        <v>5</v>
      </c>
    </row>
    <row r="584" spans="1:11" ht="36.75" x14ac:dyDescent="0.3">
      <c r="A584" s="22">
        <v>580</v>
      </c>
      <c r="B584" s="28" t="s">
        <v>23</v>
      </c>
      <c r="C584" s="24" t="s">
        <v>24</v>
      </c>
      <c r="D584" s="24" t="s">
        <v>410</v>
      </c>
      <c r="E584" s="24" t="s">
        <v>411</v>
      </c>
      <c r="F584" s="24" t="s">
        <v>407</v>
      </c>
      <c r="G584" s="24" t="s">
        <v>14</v>
      </c>
      <c r="H584" s="24" t="s">
        <v>15</v>
      </c>
      <c r="I584" s="27">
        <v>1</v>
      </c>
      <c r="J584" s="42" t="s">
        <v>16</v>
      </c>
      <c r="K584" s="10">
        <v>5</v>
      </c>
    </row>
    <row r="585" spans="1:11" ht="36.75" x14ac:dyDescent="0.3">
      <c r="A585" s="22">
        <v>581</v>
      </c>
      <c r="B585" s="28" t="s">
        <v>23</v>
      </c>
      <c r="C585" s="24" t="s">
        <v>24</v>
      </c>
      <c r="D585" s="24" t="s">
        <v>412</v>
      </c>
      <c r="E585" s="24" t="s">
        <v>413</v>
      </c>
      <c r="F585" s="24" t="s">
        <v>407</v>
      </c>
      <c r="G585" s="24" t="s">
        <v>14</v>
      </c>
      <c r="H585" s="24" t="s">
        <v>15</v>
      </c>
      <c r="I585" s="27">
        <v>1</v>
      </c>
      <c r="J585" s="42" t="s">
        <v>16</v>
      </c>
      <c r="K585" s="10">
        <v>5</v>
      </c>
    </row>
    <row r="586" spans="1:11" ht="36.75" x14ac:dyDescent="0.3">
      <c r="A586" s="22">
        <v>582</v>
      </c>
      <c r="B586" s="28" t="s">
        <v>23</v>
      </c>
      <c r="C586" s="24" t="s">
        <v>24</v>
      </c>
      <c r="D586" s="24" t="s">
        <v>414</v>
      </c>
      <c r="E586" s="24" t="s">
        <v>415</v>
      </c>
      <c r="F586" s="24" t="s">
        <v>407</v>
      </c>
      <c r="G586" s="24" t="s">
        <v>14</v>
      </c>
      <c r="H586" s="24" t="s">
        <v>15</v>
      </c>
      <c r="I586" s="27">
        <v>1</v>
      </c>
      <c r="J586" s="42" t="s">
        <v>16</v>
      </c>
      <c r="K586" s="10">
        <v>5</v>
      </c>
    </row>
    <row r="587" spans="1:11" ht="36.75" x14ac:dyDescent="0.3">
      <c r="A587" s="22">
        <v>583</v>
      </c>
      <c r="B587" s="28" t="s">
        <v>23</v>
      </c>
      <c r="C587" s="24" t="s">
        <v>24</v>
      </c>
      <c r="D587" s="24" t="s">
        <v>416</v>
      </c>
      <c r="E587" s="24" t="s">
        <v>417</v>
      </c>
      <c r="F587" s="24" t="s">
        <v>407</v>
      </c>
      <c r="G587" s="24" t="s">
        <v>14</v>
      </c>
      <c r="H587" s="24" t="s">
        <v>15</v>
      </c>
      <c r="I587" s="27">
        <v>1</v>
      </c>
      <c r="J587" s="42" t="s">
        <v>16</v>
      </c>
      <c r="K587" s="10">
        <v>5</v>
      </c>
    </row>
    <row r="588" spans="1:11" ht="36.75" x14ac:dyDescent="0.3">
      <c r="A588" s="22">
        <v>584</v>
      </c>
      <c r="B588" s="28" t="s">
        <v>23</v>
      </c>
      <c r="C588" s="24" t="s">
        <v>24</v>
      </c>
      <c r="D588" s="24" t="s">
        <v>418</v>
      </c>
      <c r="E588" s="24" t="s">
        <v>419</v>
      </c>
      <c r="F588" s="24" t="s">
        <v>407</v>
      </c>
      <c r="G588" s="24" t="s">
        <v>14</v>
      </c>
      <c r="H588" s="24" t="s">
        <v>15</v>
      </c>
      <c r="I588" s="27">
        <v>1</v>
      </c>
      <c r="J588" s="42" t="s">
        <v>16</v>
      </c>
      <c r="K588" s="10">
        <v>5</v>
      </c>
    </row>
    <row r="589" spans="1:11" ht="36.75" x14ac:dyDescent="0.3">
      <c r="A589" s="22">
        <v>585</v>
      </c>
      <c r="B589" s="28" t="s">
        <v>23</v>
      </c>
      <c r="C589" s="24" t="s">
        <v>24</v>
      </c>
      <c r="D589" s="24" t="s">
        <v>420</v>
      </c>
      <c r="E589" s="24" t="s">
        <v>421</v>
      </c>
      <c r="F589" s="24" t="s">
        <v>422</v>
      </c>
      <c r="G589" s="24" t="s">
        <v>14</v>
      </c>
      <c r="H589" s="24" t="s">
        <v>15</v>
      </c>
      <c r="I589" s="27">
        <v>1</v>
      </c>
      <c r="J589" s="42" t="s">
        <v>16</v>
      </c>
      <c r="K589" s="10">
        <v>5</v>
      </c>
    </row>
    <row r="590" spans="1:11" ht="36.75" x14ac:dyDescent="0.3">
      <c r="A590" s="22">
        <v>586</v>
      </c>
      <c r="B590" s="28" t="s">
        <v>23</v>
      </c>
      <c r="C590" s="24" t="s">
        <v>24</v>
      </c>
      <c r="D590" s="24" t="s">
        <v>423</v>
      </c>
      <c r="E590" s="24" t="s">
        <v>424</v>
      </c>
      <c r="F590" s="24" t="s">
        <v>422</v>
      </c>
      <c r="G590" s="24" t="s">
        <v>14</v>
      </c>
      <c r="H590" s="24" t="s">
        <v>15</v>
      </c>
      <c r="I590" s="27">
        <v>1</v>
      </c>
      <c r="J590" s="42" t="s">
        <v>16</v>
      </c>
      <c r="K590" s="10">
        <v>5</v>
      </c>
    </row>
    <row r="591" spans="1:11" ht="36.75" x14ac:dyDescent="0.3">
      <c r="A591" s="22">
        <v>587</v>
      </c>
      <c r="B591" s="28" t="s">
        <v>23</v>
      </c>
      <c r="C591" s="24" t="s">
        <v>24</v>
      </c>
      <c r="D591" s="24" t="s">
        <v>425</v>
      </c>
      <c r="E591" s="24" t="s">
        <v>426</v>
      </c>
      <c r="F591" s="24" t="s">
        <v>427</v>
      </c>
      <c r="G591" s="24" t="s">
        <v>14</v>
      </c>
      <c r="H591" s="24" t="s">
        <v>15</v>
      </c>
      <c r="I591" s="27">
        <v>1</v>
      </c>
      <c r="J591" s="42" t="s">
        <v>16</v>
      </c>
      <c r="K591" s="10">
        <v>5</v>
      </c>
    </row>
    <row r="592" spans="1:11" ht="36.75" x14ac:dyDescent="0.3">
      <c r="A592" s="22">
        <v>588</v>
      </c>
      <c r="B592" s="28" t="s">
        <v>23</v>
      </c>
      <c r="C592" s="24" t="s">
        <v>24</v>
      </c>
      <c r="D592" s="24" t="s">
        <v>428</v>
      </c>
      <c r="E592" s="24" t="s">
        <v>429</v>
      </c>
      <c r="F592" s="24" t="s">
        <v>430</v>
      </c>
      <c r="G592" s="24" t="s">
        <v>14</v>
      </c>
      <c r="H592" s="24" t="s">
        <v>15</v>
      </c>
      <c r="I592" s="27">
        <v>1</v>
      </c>
      <c r="J592" s="42" t="s">
        <v>16</v>
      </c>
      <c r="K592" s="10">
        <v>5</v>
      </c>
    </row>
    <row r="593" spans="1:11" ht="36.75" x14ac:dyDescent="0.3">
      <c r="A593" s="22">
        <v>589</v>
      </c>
      <c r="B593" s="28" t="s">
        <v>23</v>
      </c>
      <c r="C593" s="24" t="s">
        <v>24</v>
      </c>
      <c r="D593" s="24" t="s">
        <v>431</v>
      </c>
      <c r="E593" s="24" t="s">
        <v>432</v>
      </c>
      <c r="F593" s="24" t="s">
        <v>433</v>
      </c>
      <c r="G593" s="24" t="s">
        <v>14</v>
      </c>
      <c r="H593" s="24" t="s">
        <v>15</v>
      </c>
      <c r="I593" s="27">
        <v>1</v>
      </c>
      <c r="J593" s="42" t="s">
        <v>16</v>
      </c>
      <c r="K593" s="10">
        <v>25</v>
      </c>
    </row>
    <row r="594" spans="1:11" ht="36.75" x14ac:dyDescent="0.3">
      <c r="A594" s="22">
        <v>590</v>
      </c>
      <c r="B594" s="28" t="s">
        <v>23</v>
      </c>
      <c r="C594" s="24" t="s">
        <v>24</v>
      </c>
      <c r="D594" s="24" t="s">
        <v>434</v>
      </c>
      <c r="E594" s="24" t="s">
        <v>435</v>
      </c>
      <c r="F594" s="24" t="s">
        <v>436</v>
      </c>
      <c r="G594" s="24" t="s">
        <v>14</v>
      </c>
      <c r="H594" s="24" t="s">
        <v>15</v>
      </c>
      <c r="I594" s="27">
        <v>1</v>
      </c>
      <c r="J594" s="42" t="s">
        <v>16</v>
      </c>
      <c r="K594" s="10">
        <v>25</v>
      </c>
    </row>
    <row r="595" spans="1:11" ht="36.75" x14ac:dyDescent="0.3">
      <c r="A595" s="22">
        <v>591</v>
      </c>
      <c r="B595" s="28" t="s">
        <v>23</v>
      </c>
      <c r="C595" s="24" t="s">
        <v>24</v>
      </c>
      <c r="D595" s="24" t="s">
        <v>437</v>
      </c>
      <c r="E595" s="24" t="s">
        <v>438</v>
      </c>
      <c r="F595" s="24" t="s">
        <v>439</v>
      </c>
      <c r="G595" s="24" t="s">
        <v>14</v>
      </c>
      <c r="H595" s="24" t="s">
        <v>15</v>
      </c>
      <c r="I595" s="27">
        <v>1</v>
      </c>
      <c r="J595" s="42" t="s">
        <v>16</v>
      </c>
      <c r="K595" s="10">
        <v>25</v>
      </c>
    </row>
    <row r="596" spans="1:11" ht="36.75" x14ac:dyDescent="0.3">
      <c r="A596" s="22">
        <v>592</v>
      </c>
      <c r="B596" s="28" t="s">
        <v>23</v>
      </c>
      <c r="C596" s="24" t="s">
        <v>24</v>
      </c>
      <c r="D596" s="24" t="s">
        <v>440</v>
      </c>
      <c r="E596" s="24" t="s">
        <v>441</v>
      </c>
      <c r="F596" s="24" t="s">
        <v>439</v>
      </c>
      <c r="G596" s="24" t="s">
        <v>14</v>
      </c>
      <c r="H596" s="24" t="s">
        <v>15</v>
      </c>
      <c r="I596" s="27">
        <v>1</v>
      </c>
      <c r="J596" s="42" t="s">
        <v>16</v>
      </c>
      <c r="K596" s="10">
        <v>25</v>
      </c>
    </row>
    <row r="597" spans="1:11" ht="36.75" x14ac:dyDescent="0.3">
      <c r="A597" s="22">
        <v>593</v>
      </c>
      <c r="B597" s="28" t="s">
        <v>23</v>
      </c>
      <c r="C597" s="24" t="s">
        <v>24</v>
      </c>
      <c r="D597" s="24" t="s">
        <v>442</v>
      </c>
      <c r="E597" s="24" t="s">
        <v>443</v>
      </c>
      <c r="F597" s="24" t="s">
        <v>444</v>
      </c>
      <c r="G597" s="24" t="s">
        <v>14</v>
      </c>
      <c r="H597" s="24" t="s">
        <v>15</v>
      </c>
      <c r="I597" s="27">
        <v>1</v>
      </c>
      <c r="J597" s="42" t="s">
        <v>16</v>
      </c>
      <c r="K597" s="10">
        <v>25</v>
      </c>
    </row>
    <row r="598" spans="1:11" ht="36.75" x14ac:dyDescent="0.3">
      <c r="A598" s="22">
        <v>594</v>
      </c>
      <c r="B598" s="28" t="s">
        <v>23</v>
      </c>
      <c r="C598" s="24" t="s">
        <v>24</v>
      </c>
      <c r="D598" s="24" t="s">
        <v>445</v>
      </c>
      <c r="E598" s="24" t="s">
        <v>446</v>
      </c>
      <c r="F598" s="24" t="s">
        <v>444</v>
      </c>
      <c r="G598" s="24" t="s">
        <v>14</v>
      </c>
      <c r="H598" s="24" t="s">
        <v>15</v>
      </c>
      <c r="I598" s="27">
        <v>1</v>
      </c>
      <c r="J598" s="42" t="s">
        <v>16</v>
      </c>
      <c r="K598" s="10">
        <v>25</v>
      </c>
    </row>
    <row r="599" spans="1:11" ht="36.75" x14ac:dyDescent="0.3">
      <c r="A599" s="22">
        <v>595</v>
      </c>
      <c r="B599" s="28" t="s">
        <v>23</v>
      </c>
      <c r="C599" s="24" t="s">
        <v>24</v>
      </c>
      <c r="D599" s="24" t="s">
        <v>447</v>
      </c>
      <c r="E599" s="24" t="s">
        <v>448</v>
      </c>
      <c r="F599" s="24" t="s">
        <v>444</v>
      </c>
      <c r="G599" s="24" t="s">
        <v>14</v>
      </c>
      <c r="H599" s="24" t="s">
        <v>15</v>
      </c>
      <c r="I599" s="27">
        <v>1</v>
      </c>
      <c r="J599" s="42" t="s">
        <v>16</v>
      </c>
      <c r="K599" s="10">
        <v>25</v>
      </c>
    </row>
    <row r="600" spans="1:11" ht="36.75" x14ac:dyDescent="0.3">
      <c r="A600" s="22">
        <v>596</v>
      </c>
      <c r="B600" s="28" t="s">
        <v>23</v>
      </c>
      <c r="C600" s="24" t="s">
        <v>24</v>
      </c>
      <c r="D600" s="24" t="s">
        <v>449</v>
      </c>
      <c r="E600" s="24" t="s">
        <v>450</v>
      </c>
      <c r="F600" s="24" t="s">
        <v>444</v>
      </c>
      <c r="G600" s="24" t="s">
        <v>14</v>
      </c>
      <c r="H600" s="24" t="s">
        <v>15</v>
      </c>
      <c r="I600" s="27">
        <v>1</v>
      </c>
      <c r="J600" s="42" t="s">
        <v>16</v>
      </c>
      <c r="K600" s="10">
        <v>25</v>
      </c>
    </row>
    <row r="601" spans="1:11" ht="36.75" x14ac:dyDescent="0.3">
      <c r="A601" s="22">
        <v>597</v>
      </c>
      <c r="B601" s="28" t="s">
        <v>23</v>
      </c>
      <c r="C601" s="24" t="s">
        <v>24</v>
      </c>
      <c r="D601" s="24" t="s">
        <v>451</v>
      </c>
      <c r="E601" s="24" t="s">
        <v>452</v>
      </c>
      <c r="F601" s="24" t="s">
        <v>444</v>
      </c>
      <c r="G601" s="24" t="s">
        <v>14</v>
      </c>
      <c r="H601" s="24" t="s">
        <v>15</v>
      </c>
      <c r="I601" s="27">
        <v>1</v>
      </c>
      <c r="J601" s="42" t="s">
        <v>16</v>
      </c>
      <c r="K601" s="10">
        <v>25</v>
      </c>
    </row>
    <row r="602" spans="1:11" ht="36.75" x14ac:dyDescent="0.3">
      <c r="A602" s="22">
        <v>598</v>
      </c>
      <c r="B602" s="28" t="s">
        <v>23</v>
      </c>
      <c r="C602" s="24" t="s">
        <v>24</v>
      </c>
      <c r="D602" s="24" t="s">
        <v>453</v>
      </c>
      <c r="E602" s="24" t="s">
        <v>454</v>
      </c>
      <c r="F602" s="24" t="s">
        <v>444</v>
      </c>
      <c r="G602" s="24" t="s">
        <v>14</v>
      </c>
      <c r="H602" s="24" t="s">
        <v>15</v>
      </c>
      <c r="I602" s="27">
        <v>1</v>
      </c>
      <c r="J602" s="42" t="s">
        <v>16</v>
      </c>
      <c r="K602" s="10">
        <v>25</v>
      </c>
    </row>
    <row r="603" spans="1:11" ht="36.75" x14ac:dyDescent="0.3">
      <c r="A603" s="22">
        <v>599</v>
      </c>
      <c r="B603" s="28" t="s">
        <v>23</v>
      </c>
      <c r="C603" s="24" t="s">
        <v>24</v>
      </c>
      <c r="D603" s="24" t="s">
        <v>455</v>
      </c>
      <c r="E603" s="24" t="s">
        <v>456</v>
      </c>
      <c r="F603" s="24" t="s">
        <v>444</v>
      </c>
      <c r="G603" s="24" t="s">
        <v>14</v>
      </c>
      <c r="H603" s="24" t="s">
        <v>15</v>
      </c>
      <c r="I603" s="27">
        <v>1</v>
      </c>
      <c r="J603" s="42" t="s">
        <v>16</v>
      </c>
      <c r="K603" s="10">
        <v>25</v>
      </c>
    </row>
    <row r="604" spans="1:11" ht="36.75" x14ac:dyDescent="0.3">
      <c r="A604" s="22">
        <v>600</v>
      </c>
      <c r="B604" s="28" t="s">
        <v>23</v>
      </c>
      <c r="C604" s="24" t="s">
        <v>24</v>
      </c>
      <c r="D604" s="24" t="s">
        <v>457</v>
      </c>
      <c r="E604" s="24" t="s">
        <v>458</v>
      </c>
      <c r="F604" s="24" t="s">
        <v>444</v>
      </c>
      <c r="G604" s="24" t="s">
        <v>14</v>
      </c>
      <c r="H604" s="24" t="s">
        <v>15</v>
      </c>
      <c r="I604" s="27">
        <v>1</v>
      </c>
      <c r="J604" s="42" t="s">
        <v>16</v>
      </c>
      <c r="K604" s="10">
        <v>25</v>
      </c>
    </row>
    <row r="605" spans="1:11" ht="36.75" x14ac:dyDescent="0.3">
      <c r="A605" s="22">
        <v>601</v>
      </c>
      <c r="B605" s="28" t="s">
        <v>23</v>
      </c>
      <c r="C605" s="24" t="s">
        <v>24</v>
      </c>
      <c r="D605" s="24" t="s">
        <v>459</v>
      </c>
      <c r="E605" s="24" t="s">
        <v>460</v>
      </c>
      <c r="F605" s="24" t="s">
        <v>444</v>
      </c>
      <c r="G605" s="24" t="s">
        <v>14</v>
      </c>
      <c r="H605" s="24" t="s">
        <v>15</v>
      </c>
      <c r="I605" s="27">
        <v>1</v>
      </c>
      <c r="J605" s="42" t="s">
        <v>16</v>
      </c>
      <c r="K605" s="10">
        <v>25</v>
      </c>
    </row>
    <row r="606" spans="1:11" ht="36.75" x14ac:dyDescent="0.3">
      <c r="A606" s="22">
        <v>602</v>
      </c>
      <c r="B606" s="28" t="s">
        <v>23</v>
      </c>
      <c r="C606" s="24" t="s">
        <v>24</v>
      </c>
      <c r="D606" s="24" t="s">
        <v>461</v>
      </c>
      <c r="E606" s="24" t="s">
        <v>462</v>
      </c>
      <c r="F606" s="24" t="s">
        <v>463</v>
      </c>
      <c r="G606" s="24" t="s">
        <v>14</v>
      </c>
      <c r="H606" s="24" t="s">
        <v>15</v>
      </c>
      <c r="I606" s="27">
        <v>1</v>
      </c>
      <c r="J606" s="42" t="s">
        <v>16</v>
      </c>
      <c r="K606" s="10">
        <v>25</v>
      </c>
    </row>
    <row r="607" spans="1:11" ht="36.75" x14ac:dyDescent="0.3">
      <c r="A607" s="22">
        <v>603</v>
      </c>
      <c r="B607" s="28" t="s">
        <v>23</v>
      </c>
      <c r="C607" s="24" t="s">
        <v>24</v>
      </c>
      <c r="D607" s="24" t="s">
        <v>464</v>
      </c>
      <c r="E607" s="24" t="s">
        <v>465</v>
      </c>
      <c r="F607" s="24" t="s">
        <v>444</v>
      </c>
      <c r="G607" s="24" t="s">
        <v>14</v>
      </c>
      <c r="H607" s="24" t="s">
        <v>15</v>
      </c>
      <c r="I607" s="27">
        <v>1</v>
      </c>
      <c r="J607" s="42" t="s">
        <v>16</v>
      </c>
      <c r="K607" s="10">
        <v>25</v>
      </c>
    </row>
    <row r="608" spans="1:11" ht="36.75" x14ac:dyDescent="0.3">
      <c r="A608" s="22">
        <v>604</v>
      </c>
      <c r="B608" s="28" t="s">
        <v>23</v>
      </c>
      <c r="C608" s="24" t="s">
        <v>24</v>
      </c>
      <c r="D608" s="24" t="s">
        <v>466</v>
      </c>
      <c r="E608" s="24" t="s">
        <v>467</v>
      </c>
      <c r="F608" s="24" t="s">
        <v>463</v>
      </c>
      <c r="G608" s="24" t="s">
        <v>14</v>
      </c>
      <c r="H608" s="24" t="s">
        <v>15</v>
      </c>
      <c r="I608" s="27">
        <v>1</v>
      </c>
      <c r="J608" s="42" t="s">
        <v>16</v>
      </c>
      <c r="K608" s="10">
        <v>25</v>
      </c>
    </row>
    <row r="609" spans="1:11" ht="36.75" x14ac:dyDescent="0.3">
      <c r="A609" s="22">
        <v>605</v>
      </c>
      <c r="B609" s="28" t="s">
        <v>23</v>
      </c>
      <c r="C609" s="24" t="s">
        <v>24</v>
      </c>
      <c r="D609" s="24" t="s">
        <v>468</v>
      </c>
      <c r="E609" s="24" t="s">
        <v>469</v>
      </c>
      <c r="F609" s="24" t="s">
        <v>444</v>
      </c>
      <c r="G609" s="24" t="s">
        <v>14</v>
      </c>
      <c r="H609" s="24" t="s">
        <v>15</v>
      </c>
      <c r="I609" s="27">
        <v>1</v>
      </c>
      <c r="J609" s="42" t="s">
        <v>16</v>
      </c>
      <c r="K609" s="10">
        <v>25</v>
      </c>
    </row>
    <row r="610" spans="1:11" ht="36.75" x14ac:dyDescent="0.3">
      <c r="A610" s="22">
        <v>606</v>
      </c>
      <c r="B610" s="28" t="s">
        <v>23</v>
      </c>
      <c r="C610" s="24" t="s">
        <v>24</v>
      </c>
      <c r="D610" s="24" t="s">
        <v>470</v>
      </c>
      <c r="E610" s="24" t="s">
        <v>471</v>
      </c>
      <c r="F610" s="24" t="s">
        <v>444</v>
      </c>
      <c r="G610" s="24" t="s">
        <v>14</v>
      </c>
      <c r="H610" s="24" t="s">
        <v>15</v>
      </c>
      <c r="I610" s="27">
        <v>1</v>
      </c>
      <c r="J610" s="42" t="s">
        <v>16</v>
      </c>
      <c r="K610" s="10">
        <v>25</v>
      </c>
    </row>
    <row r="611" spans="1:11" ht="36.75" x14ac:dyDescent="0.3">
      <c r="A611" s="22">
        <v>607</v>
      </c>
      <c r="B611" s="28" t="s">
        <v>23</v>
      </c>
      <c r="C611" s="24" t="s">
        <v>24</v>
      </c>
      <c r="D611" s="24" t="s">
        <v>472</v>
      </c>
      <c r="E611" s="24" t="s">
        <v>473</v>
      </c>
      <c r="F611" s="24" t="s">
        <v>444</v>
      </c>
      <c r="G611" s="24" t="s">
        <v>14</v>
      </c>
      <c r="H611" s="24" t="s">
        <v>15</v>
      </c>
      <c r="I611" s="27">
        <v>1</v>
      </c>
      <c r="J611" s="42" t="s">
        <v>16</v>
      </c>
      <c r="K611" s="10">
        <v>25</v>
      </c>
    </row>
    <row r="612" spans="1:11" ht="36.75" x14ac:dyDescent="0.3">
      <c r="A612" s="22">
        <v>608</v>
      </c>
      <c r="B612" s="28" t="s">
        <v>23</v>
      </c>
      <c r="C612" s="24" t="s">
        <v>24</v>
      </c>
      <c r="D612" s="24" t="s">
        <v>474</v>
      </c>
      <c r="E612" s="24" t="s">
        <v>475</v>
      </c>
      <c r="F612" s="24" t="s">
        <v>444</v>
      </c>
      <c r="G612" s="24" t="s">
        <v>14</v>
      </c>
      <c r="H612" s="24" t="s">
        <v>15</v>
      </c>
      <c r="I612" s="27">
        <v>1</v>
      </c>
      <c r="J612" s="42" t="s">
        <v>16</v>
      </c>
      <c r="K612" s="10">
        <v>25</v>
      </c>
    </row>
    <row r="613" spans="1:11" ht="36.75" x14ac:dyDescent="0.3">
      <c r="A613" s="22">
        <v>609</v>
      </c>
      <c r="B613" s="28" t="s">
        <v>23</v>
      </c>
      <c r="C613" s="24" t="s">
        <v>24</v>
      </c>
      <c r="D613" s="24" t="s">
        <v>476</v>
      </c>
      <c r="E613" s="24" t="s">
        <v>477</v>
      </c>
      <c r="F613" s="24" t="s">
        <v>444</v>
      </c>
      <c r="G613" s="24" t="s">
        <v>14</v>
      </c>
      <c r="H613" s="24" t="s">
        <v>15</v>
      </c>
      <c r="I613" s="27">
        <v>1</v>
      </c>
      <c r="J613" s="42" t="s">
        <v>16</v>
      </c>
      <c r="K613" s="10">
        <v>25</v>
      </c>
    </row>
    <row r="614" spans="1:11" ht="36.75" x14ac:dyDescent="0.3">
      <c r="A614" s="22">
        <v>610</v>
      </c>
      <c r="B614" s="28" t="s">
        <v>23</v>
      </c>
      <c r="C614" s="24" t="s">
        <v>24</v>
      </c>
      <c r="D614" s="24" t="s">
        <v>478</v>
      </c>
      <c r="E614" s="24" t="s">
        <v>479</v>
      </c>
      <c r="F614" s="24" t="s">
        <v>27</v>
      </c>
      <c r="G614" s="24" t="s">
        <v>14</v>
      </c>
      <c r="H614" s="24" t="s">
        <v>15</v>
      </c>
      <c r="I614" s="27">
        <v>1</v>
      </c>
      <c r="J614" s="42" t="s">
        <v>16</v>
      </c>
      <c r="K614" s="10">
        <v>25</v>
      </c>
    </row>
    <row r="615" spans="1:11" ht="36.75" x14ac:dyDescent="0.3">
      <c r="A615" s="22">
        <v>611</v>
      </c>
      <c r="B615" s="28" t="s">
        <v>23</v>
      </c>
      <c r="C615" s="24" t="s">
        <v>24</v>
      </c>
      <c r="D615" s="24" t="s">
        <v>480</v>
      </c>
      <c r="E615" s="24" t="s">
        <v>481</v>
      </c>
      <c r="F615" s="24" t="s">
        <v>27</v>
      </c>
      <c r="G615" s="24" t="s">
        <v>14</v>
      </c>
      <c r="H615" s="24" t="s">
        <v>15</v>
      </c>
      <c r="I615" s="27">
        <v>1</v>
      </c>
      <c r="J615" s="42" t="s">
        <v>16</v>
      </c>
      <c r="K615" s="10">
        <v>25</v>
      </c>
    </row>
    <row r="616" spans="1:11" ht="36.75" x14ac:dyDescent="0.3">
      <c r="A616" s="22">
        <v>612</v>
      </c>
      <c r="B616" s="28" t="s">
        <v>23</v>
      </c>
      <c r="C616" s="24" t="s">
        <v>24</v>
      </c>
      <c r="D616" s="24" t="s">
        <v>482</v>
      </c>
      <c r="E616" s="24" t="s">
        <v>483</v>
      </c>
      <c r="F616" s="24" t="s">
        <v>27</v>
      </c>
      <c r="G616" s="24" t="s">
        <v>14</v>
      </c>
      <c r="H616" s="24" t="s">
        <v>15</v>
      </c>
      <c r="I616" s="27">
        <v>1</v>
      </c>
      <c r="J616" s="42" t="s">
        <v>16</v>
      </c>
      <c r="K616" s="10">
        <v>25</v>
      </c>
    </row>
    <row r="617" spans="1:11" ht="36.75" x14ac:dyDescent="0.3">
      <c r="A617" s="22">
        <v>613</v>
      </c>
      <c r="B617" s="28" t="s">
        <v>23</v>
      </c>
      <c r="C617" s="24" t="s">
        <v>24</v>
      </c>
      <c r="D617" s="24" t="s">
        <v>484</v>
      </c>
      <c r="E617" s="24" t="s">
        <v>485</v>
      </c>
      <c r="F617" s="24" t="s">
        <v>27</v>
      </c>
      <c r="G617" s="24" t="s">
        <v>14</v>
      </c>
      <c r="H617" s="24" t="s">
        <v>15</v>
      </c>
      <c r="I617" s="27">
        <v>1</v>
      </c>
      <c r="J617" s="42" t="s">
        <v>16</v>
      </c>
      <c r="K617" s="10">
        <v>25</v>
      </c>
    </row>
    <row r="618" spans="1:11" ht="36.75" x14ac:dyDescent="0.3">
      <c r="A618" s="22">
        <v>614</v>
      </c>
      <c r="B618" s="28" t="s">
        <v>23</v>
      </c>
      <c r="C618" s="24" t="s">
        <v>24</v>
      </c>
      <c r="D618" s="24" t="s">
        <v>486</v>
      </c>
      <c r="E618" s="24" t="s">
        <v>487</v>
      </c>
      <c r="F618" s="24" t="s">
        <v>27</v>
      </c>
      <c r="G618" s="24" t="s">
        <v>14</v>
      </c>
      <c r="H618" s="24" t="s">
        <v>15</v>
      </c>
      <c r="I618" s="27">
        <v>1</v>
      </c>
      <c r="J618" s="42" t="s">
        <v>16</v>
      </c>
      <c r="K618" s="10">
        <v>25</v>
      </c>
    </row>
    <row r="619" spans="1:11" ht="36.75" x14ac:dyDescent="0.3">
      <c r="A619" s="22">
        <v>615</v>
      </c>
      <c r="B619" s="28" t="s">
        <v>23</v>
      </c>
      <c r="C619" s="24" t="s">
        <v>24</v>
      </c>
      <c r="D619" s="24" t="s">
        <v>488</v>
      </c>
      <c r="E619" s="24" t="s">
        <v>489</v>
      </c>
      <c r="F619" s="24" t="s">
        <v>27</v>
      </c>
      <c r="G619" s="24" t="s">
        <v>14</v>
      </c>
      <c r="H619" s="24" t="s">
        <v>15</v>
      </c>
      <c r="I619" s="27">
        <v>1</v>
      </c>
      <c r="J619" s="42" t="s">
        <v>16</v>
      </c>
      <c r="K619" s="10">
        <v>25</v>
      </c>
    </row>
    <row r="620" spans="1:11" ht="36.75" x14ac:dyDescent="0.3">
      <c r="A620" s="22">
        <v>616</v>
      </c>
      <c r="B620" s="28" t="s">
        <v>23</v>
      </c>
      <c r="C620" s="24" t="s">
        <v>24</v>
      </c>
      <c r="D620" s="24" t="s">
        <v>490</v>
      </c>
      <c r="E620" s="24" t="s">
        <v>491</v>
      </c>
      <c r="F620" s="24" t="s">
        <v>27</v>
      </c>
      <c r="G620" s="24" t="s">
        <v>14</v>
      </c>
      <c r="H620" s="24" t="s">
        <v>15</v>
      </c>
      <c r="I620" s="27">
        <v>1</v>
      </c>
      <c r="J620" s="42" t="s">
        <v>16</v>
      </c>
      <c r="K620" s="10">
        <v>25</v>
      </c>
    </row>
    <row r="621" spans="1:11" ht="36.75" x14ac:dyDescent="0.3">
      <c r="A621" s="22">
        <v>617</v>
      </c>
      <c r="B621" s="28" t="s">
        <v>23</v>
      </c>
      <c r="C621" s="24" t="s">
        <v>24</v>
      </c>
      <c r="D621" s="24" t="s">
        <v>492</v>
      </c>
      <c r="E621" s="24" t="s">
        <v>493</v>
      </c>
      <c r="F621" s="24" t="s">
        <v>27</v>
      </c>
      <c r="G621" s="24" t="s">
        <v>14</v>
      </c>
      <c r="H621" s="24" t="s">
        <v>15</v>
      </c>
      <c r="I621" s="27">
        <v>1</v>
      </c>
      <c r="J621" s="42" t="s">
        <v>16</v>
      </c>
      <c r="K621" s="10">
        <v>25</v>
      </c>
    </row>
    <row r="622" spans="1:11" ht="36.75" x14ac:dyDescent="0.3">
      <c r="A622" s="22">
        <v>618</v>
      </c>
      <c r="B622" s="28" t="s">
        <v>23</v>
      </c>
      <c r="C622" s="24" t="s">
        <v>24</v>
      </c>
      <c r="D622" s="24" t="s">
        <v>494</v>
      </c>
      <c r="E622" s="24" t="s">
        <v>495</v>
      </c>
      <c r="F622" s="24" t="s">
        <v>27</v>
      </c>
      <c r="G622" s="24" t="s">
        <v>14</v>
      </c>
      <c r="H622" s="24" t="s">
        <v>15</v>
      </c>
      <c r="I622" s="27">
        <v>1</v>
      </c>
      <c r="J622" s="42" t="s">
        <v>16</v>
      </c>
      <c r="K622" s="10">
        <v>25</v>
      </c>
    </row>
    <row r="623" spans="1:11" ht="36.75" x14ac:dyDescent="0.3">
      <c r="A623" s="22">
        <v>619</v>
      </c>
      <c r="B623" s="28" t="s">
        <v>23</v>
      </c>
      <c r="C623" s="24" t="s">
        <v>24</v>
      </c>
      <c r="D623" s="24" t="s">
        <v>496</v>
      </c>
      <c r="E623" s="24" t="s">
        <v>497</v>
      </c>
      <c r="F623" s="24" t="s">
        <v>27</v>
      </c>
      <c r="G623" s="24" t="s">
        <v>14</v>
      </c>
      <c r="H623" s="24" t="s">
        <v>15</v>
      </c>
      <c r="I623" s="27">
        <v>1</v>
      </c>
      <c r="J623" s="42" t="s">
        <v>16</v>
      </c>
      <c r="K623" s="10">
        <v>25</v>
      </c>
    </row>
    <row r="624" spans="1:11" ht="36.75" x14ac:dyDescent="0.3">
      <c r="A624" s="22">
        <v>620</v>
      </c>
      <c r="B624" s="28" t="s">
        <v>23</v>
      </c>
      <c r="C624" s="24" t="s">
        <v>24</v>
      </c>
      <c r="D624" s="24" t="s">
        <v>498</v>
      </c>
      <c r="E624" s="24" t="s">
        <v>499</v>
      </c>
      <c r="F624" s="24" t="s">
        <v>27</v>
      </c>
      <c r="G624" s="24" t="s">
        <v>14</v>
      </c>
      <c r="H624" s="24" t="s">
        <v>15</v>
      </c>
      <c r="I624" s="27">
        <v>1</v>
      </c>
      <c r="J624" s="42" t="s">
        <v>16</v>
      </c>
      <c r="K624" s="10">
        <v>25</v>
      </c>
    </row>
    <row r="625" spans="1:11" ht="36.75" x14ac:dyDescent="0.3">
      <c r="A625" s="22">
        <v>621</v>
      </c>
      <c r="B625" s="28" t="s">
        <v>23</v>
      </c>
      <c r="C625" s="24" t="s">
        <v>24</v>
      </c>
      <c r="D625" s="24" t="s">
        <v>500</v>
      </c>
      <c r="E625" s="24" t="s">
        <v>501</v>
      </c>
      <c r="F625" s="24" t="s">
        <v>27</v>
      </c>
      <c r="G625" s="24" t="s">
        <v>14</v>
      </c>
      <c r="H625" s="24" t="s">
        <v>15</v>
      </c>
      <c r="I625" s="27">
        <v>1</v>
      </c>
      <c r="J625" s="42" t="s">
        <v>16</v>
      </c>
      <c r="K625" s="10">
        <v>25</v>
      </c>
    </row>
    <row r="626" spans="1:11" ht="36.75" x14ac:dyDescent="0.3">
      <c r="A626" s="22">
        <v>622</v>
      </c>
      <c r="B626" s="28" t="s">
        <v>23</v>
      </c>
      <c r="C626" s="24" t="s">
        <v>24</v>
      </c>
      <c r="D626" s="24" t="s">
        <v>502</v>
      </c>
      <c r="E626" s="24" t="s">
        <v>503</v>
      </c>
      <c r="F626" s="24" t="s">
        <v>27</v>
      </c>
      <c r="G626" s="24" t="s">
        <v>14</v>
      </c>
      <c r="H626" s="24" t="s">
        <v>15</v>
      </c>
      <c r="I626" s="27">
        <v>1</v>
      </c>
      <c r="J626" s="42" t="s">
        <v>16</v>
      </c>
      <c r="K626" s="10">
        <v>25</v>
      </c>
    </row>
    <row r="627" spans="1:11" ht="36.75" x14ac:dyDescent="0.3">
      <c r="A627" s="22">
        <v>623</v>
      </c>
      <c r="B627" s="28" t="s">
        <v>23</v>
      </c>
      <c r="C627" s="24" t="s">
        <v>24</v>
      </c>
      <c r="D627" s="24" t="s">
        <v>504</v>
      </c>
      <c r="E627" s="24" t="s">
        <v>505</v>
      </c>
      <c r="F627" s="24" t="s">
        <v>27</v>
      </c>
      <c r="G627" s="24" t="s">
        <v>14</v>
      </c>
      <c r="H627" s="24" t="s">
        <v>15</v>
      </c>
      <c r="I627" s="27">
        <v>1</v>
      </c>
      <c r="J627" s="42" t="s">
        <v>16</v>
      </c>
      <c r="K627" s="10">
        <v>25</v>
      </c>
    </row>
    <row r="628" spans="1:11" ht="36.75" x14ac:dyDescent="0.3">
      <c r="A628" s="22">
        <v>624</v>
      </c>
      <c r="B628" s="28" t="s">
        <v>23</v>
      </c>
      <c r="C628" s="24" t="s">
        <v>24</v>
      </c>
      <c r="D628" s="24" t="s">
        <v>506</v>
      </c>
      <c r="E628" s="24" t="s">
        <v>507</v>
      </c>
      <c r="F628" s="24" t="s">
        <v>27</v>
      </c>
      <c r="G628" s="24" t="s">
        <v>14</v>
      </c>
      <c r="H628" s="24" t="s">
        <v>15</v>
      </c>
      <c r="I628" s="27">
        <v>1</v>
      </c>
      <c r="J628" s="42" t="s">
        <v>16</v>
      </c>
      <c r="K628" s="10">
        <v>25</v>
      </c>
    </row>
    <row r="629" spans="1:11" ht="36.75" x14ac:dyDescent="0.3">
      <c r="A629" s="22">
        <v>625</v>
      </c>
      <c r="B629" s="28" t="s">
        <v>23</v>
      </c>
      <c r="C629" s="24" t="s">
        <v>24</v>
      </c>
      <c r="D629" s="24" t="s">
        <v>508</v>
      </c>
      <c r="E629" s="24" t="s">
        <v>509</v>
      </c>
      <c r="F629" s="24" t="s">
        <v>27</v>
      </c>
      <c r="G629" s="24" t="s">
        <v>14</v>
      </c>
      <c r="H629" s="24" t="s">
        <v>15</v>
      </c>
      <c r="I629" s="27">
        <v>1</v>
      </c>
      <c r="J629" s="42" t="s">
        <v>16</v>
      </c>
      <c r="K629" s="10">
        <v>25</v>
      </c>
    </row>
    <row r="630" spans="1:11" ht="36.75" x14ac:dyDescent="0.3">
      <c r="A630" s="22">
        <v>626</v>
      </c>
      <c r="B630" s="28" t="s">
        <v>23</v>
      </c>
      <c r="C630" s="24" t="s">
        <v>24</v>
      </c>
      <c r="D630" s="24" t="s">
        <v>510</v>
      </c>
      <c r="E630" s="24" t="s">
        <v>511</v>
      </c>
      <c r="F630" s="24" t="s">
        <v>27</v>
      </c>
      <c r="G630" s="24" t="s">
        <v>14</v>
      </c>
      <c r="H630" s="24" t="s">
        <v>15</v>
      </c>
      <c r="I630" s="27">
        <v>1</v>
      </c>
      <c r="J630" s="42" t="s">
        <v>16</v>
      </c>
      <c r="K630" s="10">
        <v>25</v>
      </c>
    </row>
    <row r="631" spans="1:11" ht="36.75" x14ac:dyDescent="0.3">
      <c r="A631" s="22">
        <v>627</v>
      </c>
      <c r="B631" s="28" t="s">
        <v>23</v>
      </c>
      <c r="C631" s="24" t="s">
        <v>24</v>
      </c>
      <c r="D631" s="24" t="s">
        <v>512</v>
      </c>
      <c r="E631" s="24" t="s">
        <v>513</v>
      </c>
      <c r="F631" s="24" t="s">
        <v>27</v>
      </c>
      <c r="G631" s="24" t="s">
        <v>14</v>
      </c>
      <c r="H631" s="24" t="s">
        <v>15</v>
      </c>
      <c r="I631" s="27">
        <v>1</v>
      </c>
      <c r="J631" s="42" t="s">
        <v>16</v>
      </c>
      <c r="K631" s="10">
        <v>25</v>
      </c>
    </row>
    <row r="632" spans="1:11" ht="36.75" x14ac:dyDescent="0.3">
      <c r="A632" s="22">
        <v>628</v>
      </c>
      <c r="B632" s="28" t="s">
        <v>23</v>
      </c>
      <c r="C632" s="24" t="s">
        <v>24</v>
      </c>
      <c r="D632" s="24" t="s">
        <v>514</v>
      </c>
      <c r="E632" s="24" t="s">
        <v>515</v>
      </c>
      <c r="F632" s="24" t="s">
        <v>27</v>
      </c>
      <c r="G632" s="24" t="s">
        <v>14</v>
      </c>
      <c r="H632" s="24" t="s">
        <v>15</v>
      </c>
      <c r="I632" s="27">
        <v>1</v>
      </c>
      <c r="J632" s="42" t="s">
        <v>16</v>
      </c>
      <c r="K632" s="10">
        <v>25</v>
      </c>
    </row>
    <row r="633" spans="1:11" ht="36.75" x14ac:dyDescent="0.3">
      <c r="A633" s="22">
        <v>629</v>
      </c>
      <c r="B633" s="28" t="s">
        <v>23</v>
      </c>
      <c r="C633" s="24" t="s">
        <v>24</v>
      </c>
      <c r="D633" s="24" t="s">
        <v>516</v>
      </c>
      <c r="E633" s="24" t="s">
        <v>517</v>
      </c>
      <c r="F633" s="24" t="s">
        <v>27</v>
      </c>
      <c r="G633" s="24" t="s">
        <v>14</v>
      </c>
      <c r="H633" s="24" t="s">
        <v>15</v>
      </c>
      <c r="I633" s="27">
        <v>1</v>
      </c>
      <c r="J633" s="42" t="s">
        <v>16</v>
      </c>
      <c r="K633" s="10">
        <v>25</v>
      </c>
    </row>
    <row r="634" spans="1:11" ht="36.75" x14ac:dyDescent="0.3">
      <c r="A634" s="22">
        <v>630</v>
      </c>
      <c r="B634" s="28" t="s">
        <v>23</v>
      </c>
      <c r="C634" s="24" t="s">
        <v>24</v>
      </c>
      <c r="D634" s="24" t="s">
        <v>518</v>
      </c>
      <c r="E634" s="24" t="s">
        <v>519</v>
      </c>
      <c r="F634" s="24" t="s">
        <v>27</v>
      </c>
      <c r="G634" s="24" t="s">
        <v>14</v>
      </c>
      <c r="H634" s="24" t="s">
        <v>15</v>
      </c>
      <c r="I634" s="27">
        <v>1</v>
      </c>
      <c r="J634" s="42" t="s">
        <v>16</v>
      </c>
      <c r="K634" s="10">
        <v>25</v>
      </c>
    </row>
    <row r="635" spans="1:11" ht="36.75" x14ac:dyDescent="0.3">
      <c r="A635" s="22">
        <v>631</v>
      </c>
      <c r="B635" s="28" t="s">
        <v>23</v>
      </c>
      <c r="C635" s="24" t="s">
        <v>24</v>
      </c>
      <c r="D635" s="24" t="s">
        <v>520</v>
      </c>
      <c r="E635" s="24" t="s">
        <v>521</v>
      </c>
      <c r="F635" s="24" t="s">
        <v>27</v>
      </c>
      <c r="G635" s="24" t="s">
        <v>14</v>
      </c>
      <c r="H635" s="24" t="s">
        <v>15</v>
      </c>
      <c r="I635" s="27">
        <v>1</v>
      </c>
      <c r="J635" s="42" t="s">
        <v>16</v>
      </c>
      <c r="K635" s="10">
        <v>25</v>
      </c>
    </row>
    <row r="636" spans="1:11" ht="36.75" x14ac:dyDescent="0.3">
      <c r="A636" s="22">
        <v>632</v>
      </c>
      <c r="B636" s="28" t="s">
        <v>23</v>
      </c>
      <c r="C636" s="24" t="s">
        <v>24</v>
      </c>
      <c r="D636" s="24" t="s">
        <v>522</v>
      </c>
      <c r="E636" s="24" t="s">
        <v>523</v>
      </c>
      <c r="F636" s="24" t="s">
        <v>27</v>
      </c>
      <c r="G636" s="24" t="s">
        <v>14</v>
      </c>
      <c r="H636" s="24" t="s">
        <v>15</v>
      </c>
      <c r="I636" s="27">
        <v>1</v>
      </c>
      <c r="J636" s="42" t="s">
        <v>16</v>
      </c>
      <c r="K636" s="10">
        <v>25</v>
      </c>
    </row>
    <row r="637" spans="1:11" ht="36.75" x14ac:dyDescent="0.3">
      <c r="A637" s="22">
        <v>633</v>
      </c>
      <c r="B637" s="28" t="s">
        <v>23</v>
      </c>
      <c r="C637" s="24" t="s">
        <v>24</v>
      </c>
      <c r="D637" s="24" t="s">
        <v>524</v>
      </c>
      <c r="E637" s="24" t="s">
        <v>525</v>
      </c>
      <c r="F637" s="24" t="s">
        <v>27</v>
      </c>
      <c r="G637" s="24" t="s">
        <v>14</v>
      </c>
      <c r="H637" s="24" t="s">
        <v>15</v>
      </c>
      <c r="I637" s="27">
        <v>1</v>
      </c>
      <c r="J637" s="42" t="s">
        <v>16</v>
      </c>
      <c r="K637" s="10">
        <v>25</v>
      </c>
    </row>
    <row r="638" spans="1:11" ht="36.75" x14ac:dyDescent="0.3">
      <c r="A638" s="22">
        <v>634</v>
      </c>
      <c r="B638" s="28" t="s">
        <v>23</v>
      </c>
      <c r="C638" s="24" t="s">
        <v>24</v>
      </c>
      <c r="D638" s="24" t="s">
        <v>526</v>
      </c>
      <c r="E638" s="24" t="s">
        <v>527</v>
      </c>
      <c r="F638" s="24" t="s">
        <v>27</v>
      </c>
      <c r="G638" s="24" t="s">
        <v>14</v>
      </c>
      <c r="H638" s="24" t="s">
        <v>15</v>
      </c>
      <c r="I638" s="27">
        <v>1</v>
      </c>
      <c r="J638" s="42" t="s">
        <v>16</v>
      </c>
      <c r="K638" s="10">
        <v>25</v>
      </c>
    </row>
    <row r="639" spans="1:11" ht="36.75" x14ac:dyDescent="0.3">
      <c r="A639" s="22">
        <v>635</v>
      </c>
      <c r="B639" s="28" t="s">
        <v>23</v>
      </c>
      <c r="C639" s="24" t="s">
        <v>24</v>
      </c>
      <c r="D639" s="24" t="s">
        <v>528</v>
      </c>
      <c r="E639" s="24" t="s">
        <v>529</v>
      </c>
      <c r="F639" s="24" t="s">
        <v>27</v>
      </c>
      <c r="G639" s="24" t="s">
        <v>14</v>
      </c>
      <c r="H639" s="24" t="s">
        <v>15</v>
      </c>
      <c r="I639" s="27">
        <v>1</v>
      </c>
      <c r="J639" s="42" t="s">
        <v>16</v>
      </c>
      <c r="K639" s="10">
        <v>25</v>
      </c>
    </row>
    <row r="640" spans="1:11" ht="36.75" x14ac:dyDescent="0.3">
      <c r="A640" s="22">
        <v>636</v>
      </c>
      <c r="B640" s="28" t="s">
        <v>23</v>
      </c>
      <c r="C640" s="24" t="s">
        <v>24</v>
      </c>
      <c r="D640" s="24" t="s">
        <v>530</v>
      </c>
      <c r="E640" s="24" t="s">
        <v>531</v>
      </c>
      <c r="F640" s="24" t="s">
        <v>27</v>
      </c>
      <c r="G640" s="24" t="s">
        <v>14</v>
      </c>
      <c r="H640" s="24" t="s">
        <v>15</v>
      </c>
      <c r="I640" s="27">
        <v>1</v>
      </c>
      <c r="J640" s="42" t="s">
        <v>16</v>
      </c>
      <c r="K640" s="10">
        <v>25</v>
      </c>
    </row>
    <row r="641" spans="1:11" ht="36.75" x14ac:dyDescent="0.3">
      <c r="A641" s="22">
        <v>637</v>
      </c>
      <c r="B641" s="28" t="s">
        <v>23</v>
      </c>
      <c r="C641" s="24" t="s">
        <v>24</v>
      </c>
      <c r="D641" s="24" t="s">
        <v>532</v>
      </c>
      <c r="E641" s="24" t="s">
        <v>533</v>
      </c>
      <c r="F641" s="24" t="s">
        <v>27</v>
      </c>
      <c r="G641" s="24" t="s">
        <v>14</v>
      </c>
      <c r="H641" s="24" t="s">
        <v>15</v>
      </c>
      <c r="I641" s="27">
        <v>1</v>
      </c>
      <c r="J641" s="42" t="s">
        <v>16</v>
      </c>
      <c r="K641" s="10">
        <v>25</v>
      </c>
    </row>
    <row r="642" spans="1:11" ht="36.75" x14ac:dyDescent="0.3">
      <c r="A642" s="22">
        <v>638</v>
      </c>
      <c r="B642" s="28" t="s">
        <v>23</v>
      </c>
      <c r="C642" s="24" t="s">
        <v>24</v>
      </c>
      <c r="D642" s="24" t="s">
        <v>534</v>
      </c>
      <c r="E642" s="24" t="s">
        <v>535</v>
      </c>
      <c r="F642" s="24" t="s">
        <v>27</v>
      </c>
      <c r="G642" s="24" t="s">
        <v>14</v>
      </c>
      <c r="H642" s="24" t="s">
        <v>15</v>
      </c>
      <c r="I642" s="27">
        <v>1</v>
      </c>
      <c r="J642" s="42" t="s">
        <v>16</v>
      </c>
      <c r="K642" s="10">
        <v>25</v>
      </c>
    </row>
    <row r="643" spans="1:11" ht="36.75" x14ac:dyDescent="0.3">
      <c r="A643" s="22">
        <v>639</v>
      </c>
      <c r="B643" s="28" t="s">
        <v>23</v>
      </c>
      <c r="C643" s="24" t="s">
        <v>24</v>
      </c>
      <c r="D643" s="24" t="s">
        <v>536</v>
      </c>
      <c r="E643" s="24" t="s">
        <v>537</v>
      </c>
      <c r="F643" s="24" t="s">
        <v>27</v>
      </c>
      <c r="G643" s="24" t="s">
        <v>14</v>
      </c>
      <c r="H643" s="24" t="s">
        <v>15</v>
      </c>
      <c r="I643" s="27">
        <v>1</v>
      </c>
      <c r="J643" s="42" t="s">
        <v>16</v>
      </c>
      <c r="K643" s="10">
        <v>25</v>
      </c>
    </row>
    <row r="644" spans="1:11" ht="36.75" x14ac:dyDescent="0.3">
      <c r="A644" s="22">
        <v>640</v>
      </c>
      <c r="B644" s="28" t="s">
        <v>23</v>
      </c>
      <c r="C644" s="24" t="s">
        <v>24</v>
      </c>
      <c r="D644" s="24" t="s">
        <v>538</v>
      </c>
      <c r="E644" s="24" t="s">
        <v>539</v>
      </c>
      <c r="F644" s="24" t="s">
        <v>27</v>
      </c>
      <c r="G644" s="24" t="s">
        <v>14</v>
      </c>
      <c r="H644" s="24" t="s">
        <v>15</v>
      </c>
      <c r="I644" s="27">
        <v>1</v>
      </c>
      <c r="J644" s="42" t="s">
        <v>16</v>
      </c>
      <c r="K644" s="10">
        <v>25</v>
      </c>
    </row>
    <row r="645" spans="1:11" ht="36.75" x14ac:dyDescent="0.3">
      <c r="A645" s="22">
        <v>641</v>
      </c>
      <c r="B645" s="28" t="s">
        <v>23</v>
      </c>
      <c r="C645" s="24" t="s">
        <v>24</v>
      </c>
      <c r="D645" s="24" t="s">
        <v>540</v>
      </c>
      <c r="E645" s="24" t="s">
        <v>541</v>
      </c>
      <c r="F645" s="24" t="s">
        <v>27</v>
      </c>
      <c r="G645" s="24" t="s">
        <v>14</v>
      </c>
      <c r="H645" s="24" t="s">
        <v>15</v>
      </c>
      <c r="I645" s="27">
        <v>1</v>
      </c>
      <c r="J645" s="42" t="s">
        <v>16</v>
      </c>
      <c r="K645" s="10">
        <v>25</v>
      </c>
    </row>
    <row r="646" spans="1:11" ht="36.75" x14ac:dyDescent="0.3">
      <c r="A646" s="22">
        <v>642</v>
      </c>
      <c r="B646" s="28" t="s">
        <v>23</v>
      </c>
      <c r="C646" s="24" t="s">
        <v>24</v>
      </c>
      <c r="D646" s="24" t="s">
        <v>542</v>
      </c>
      <c r="E646" s="24" t="s">
        <v>543</v>
      </c>
      <c r="F646" s="24" t="s">
        <v>27</v>
      </c>
      <c r="G646" s="24" t="s">
        <v>14</v>
      </c>
      <c r="H646" s="24" t="s">
        <v>15</v>
      </c>
      <c r="I646" s="27">
        <v>1</v>
      </c>
      <c r="J646" s="42" t="s">
        <v>16</v>
      </c>
      <c r="K646" s="10">
        <v>25</v>
      </c>
    </row>
    <row r="647" spans="1:11" ht="36.75" x14ac:dyDescent="0.3">
      <c r="A647" s="22">
        <v>643</v>
      </c>
      <c r="B647" s="28" t="s">
        <v>23</v>
      </c>
      <c r="C647" s="24" t="s">
        <v>24</v>
      </c>
      <c r="D647" s="24" t="s">
        <v>544</v>
      </c>
      <c r="E647" s="24" t="s">
        <v>545</v>
      </c>
      <c r="F647" s="24" t="s">
        <v>27</v>
      </c>
      <c r="G647" s="24" t="s">
        <v>14</v>
      </c>
      <c r="H647" s="24" t="s">
        <v>15</v>
      </c>
      <c r="I647" s="27">
        <v>1</v>
      </c>
      <c r="J647" s="42" t="s">
        <v>16</v>
      </c>
      <c r="K647" s="10">
        <v>25</v>
      </c>
    </row>
    <row r="648" spans="1:11" ht="36.75" x14ac:dyDescent="0.3">
      <c r="A648" s="22">
        <v>644</v>
      </c>
      <c r="B648" s="28" t="s">
        <v>23</v>
      </c>
      <c r="C648" s="24" t="s">
        <v>24</v>
      </c>
      <c r="D648" s="24" t="s">
        <v>546</v>
      </c>
      <c r="E648" s="24" t="s">
        <v>547</v>
      </c>
      <c r="F648" s="24" t="s">
        <v>27</v>
      </c>
      <c r="G648" s="24" t="s">
        <v>14</v>
      </c>
      <c r="H648" s="24" t="s">
        <v>15</v>
      </c>
      <c r="I648" s="27">
        <v>1</v>
      </c>
      <c r="J648" s="42" t="s">
        <v>16</v>
      </c>
      <c r="K648" s="10">
        <v>25</v>
      </c>
    </row>
    <row r="649" spans="1:11" ht="36.75" x14ac:dyDescent="0.3">
      <c r="A649" s="22">
        <v>645</v>
      </c>
      <c r="B649" s="28" t="s">
        <v>23</v>
      </c>
      <c r="C649" s="24" t="s">
        <v>24</v>
      </c>
      <c r="D649" s="24" t="s">
        <v>548</v>
      </c>
      <c r="E649" s="24" t="s">
        <v>549</v>
      </c>
      <c r="F649" s="24" t="s">
        <v>27</v>
      </c>
      <c r="G649" s="24" t="s">
        <v>14</v>
      </c>
      <c r="H649" s="24" t="s">
        <v>15</v>
      </c>
      <c r="I649" s="27">
        <v>1</v>
      </c>
      <c r="J649" s="42" t="s">
        <v>16</v>
      </c>
      <c r="K649" s="10">
        <v>25</v>
      </c>
    </row>
    <row r="650" spans="1:11" ht="36.75" x14ac:dyDescent="0.3">
      <c r="A650" s="22">
        <v>646</v>
      </c>
      <c r="B650" s="28" t="s">
        <v>23</v>
      </c>
      <c r="C650" s="24" t="s">
        <v>24</v>
      </c>
      <c r="D650" s="24" t="s">
        <v>550</v>
      </c>
      <c r="E650" s="24" t="s">
        <v>551</v>
      </c>
      <c r="F650" s="24" t="s">
        <v>27</v>
      </c>
      <c r="G650" s="24" t="s">
        <v>14</v>
      </c>
      <c r="H650" s="24" t="s">
        <v>15</v>
      </c>
      <c r="I650" s="27">
        <v>1</v>
      </c>
      <c r="J650" s="42" t="s">
        <v>16</v>
      </c>
      <c r="K650" s="10">
        <v>25</v>
      </c>
    </row>
    <row r="651" spans="1:11" ht="36.75" x14ac:dyDescent="0.3">
      <c r="A651" s="22">
        <v>647</v>
      </c>
      <c r="B651" s="28" t="s">
        <v>23</v>
      </c>
      <c r="C651" s="24" t="s">
        <v>24</v>
      </c>
      <c r="D651" s="24" t="s">
        <v>552</v>
      </c>
      <c r="E651" s="24" t="s">
        <v>553</v>
      </c>
      <c r="F651" s="24" t="s">
        <v>27</v>
      </c>
      <c r="G651" s="24" t="s">
        <v>14</v>
      </c>
      <c r="H651" s="24" t="s">
        <v>15</v>
      </c>
      <c r="I651" s="27">
        <v>1</v>
      </c>
      <c r="J651" s="42" t="s">
        <v>16</v>
      </c>
      <c r="K651" s="10">
        <v>25</v>
      </c>
    </row>
    <row r="652" spans="1:11" ht="36.75" x14ac:dyDescent="0.3">
      <c r="A652" s="22">
        <v>648</v>
      </c>
      <c r="B652" s="28" t="s">
        <v>23</v>
      </c>
      <c r="C652" s="24" t="s">
        <v>24</v>
      </c>
      <c r="D652" s="24" t="s">
        <v>554</v>
      </c>
      <c r="E652" s="24" t="s">
        <v>555</v>
      </c>
      <c r="F652" s="24" t="s">
        <v>27</v>
      </c>
      <c r="G652" s="24" t="s">
        <v>14</v>
      </c>
      <c r="H652" s="24" t="s">
        <v>15</v>
      </c>
      <c r="I652" s="27">
        <v>1</v>
      </c>
      <c r="J652" s="42" t="s">
        <v>16</v>
      </c>
      <c r="K652" s="10">
        <v>25</v>
      </c>
    </row>
    <row r="653" spans="1:11" ht="36.75" x14ac:dyDescent="0.3">
      <c r="A653" s="22">
        <v>649</v>
      </c>
      <c r="B653" s="23" t="s">
        <v>556</v>
      </c>
      <c r="C653" s="24" t="str">
        <f t="shared" ref="C653:C678" si="20">"140504"</f>
        <v>140504</v>
      </c>
      <c r="D653" s="24" t="str">
        <f>"14.140504/2024.00377/BNC"</f>
        <v>14.140504/2024.00377/BNC</v>
      </c>
      <c r="E653" s="24" t="str">
        <f>"140504240378"</f>
        <v>140504240378</v>
      </c>
      <c r="F653" s="24" t="str">
        <f t="shared" ref="F653:F658" si="21">"TERMO PARA CAFÉ"</f>
        <v>TERMO PARA CAFÉ</v>
      </c>
      <c r="G653" s="24" t="s">
        <v>14</v>
      </c>
      <c r="H653" s="24" t="s">
        <v>15</v>
      </c>
      <c r="I653" s="27">
        <v>1</v>
      </c>
      <c r="J653" s="42" t="s">
        <v>16</v>
      </c>
      <c r="K653" s="10">
        <v>25</v>
      </c>
    </row>
    <row r="654" spans="1:11" ht="36.75" x14ac:dyDescent="0.3">
      <c r="A654" s="22">
        <v>650</v>
      </c>
      <c r="B654" s="23" t="s">
        <v>556</v>
      </c>
      <c r="C654" s="24" t="str">
        <f t="shared" si="20"/>
        <v>140504</v>
      </c>
      <c r="D654" s="24" t="str">
        <f>"14.140504/2024.00378/BNC"</f>
        <v>14.140504/2024.00378/BNC</v>
      </c>
      <c r="E654" s="24" t="str">
        <f>"140504240379"</f>
        <v>140504240379</v>
      </c>
      <c r="F654" s="24" t="str">
        <f t="shared" si="21"/>
        <v>TERMO PARA CAFÉ</v>
      </c>
      <c r="G654" s="24" t="s">
        <v>14</v>
      </c>
      <c r="H654" s="24" t="s">
        <v>15</v>
      </c>
      <c r="I654" s="27">
        <v>1</v>
      </c>
      <c r="J654" s="42" t="s">
        <v>16</v>
      </c>
      <c r="K654" s="10">
        <v>25</v>
      </c>
    </row>
    <row r="655" spans="1:11" ht="36.75" x14ac:dyDescent="0.3">
      <c r="A655" s="22">
        <v>651</v>
      </c>
      <c r="B655" s="23" t="s">
        <v>556</v>
      </c>
      <c r="C655" s="24" t="str">
        <f t="shared" si="20"/>
        <v>140504</v>
      </c>
      <c r="D655" s="24" t="str">
        <f>"14.140504/2024.00379/BNC"</f>
        <v>14.140504/2024.00379/BNC</v>
      </c>
      <c r="E655" s="24" t="str">
        <f>"140504240380"</f>
        <v>140504240380</v>
      </c>
      <c r="F655" s="24" t="str">
        <f t="shared" si="21"/>
        <v>TERMO PARA CAFÉ</v>
      </c>
      <c r="G655" s="24" t="s">
        <v>14</v>
      </c>
      <c r="H655" s="24" t="s">
        <v>15</v>
      </c>
      <c r="I655" s="27">
        <v>1</v>
      </c>
      <c r="J655" s="42" t="s">
        <v>16</v>
      </c>
      <c r="K655" s="10">
        <v>25</v>
      </c>
    </row>
    <row r="656" spans="1:11" ht="36.75" x14ac:dyDescent="0.3">
      <c r="A656" s="22">
        <v>652</v>
      </c>
      <c r="B656" s="23" t="s">
        <v>556</v>
      </c>
      <c r="C656" s="24" t="str">
        <f t="shared" si="20"/>
        <v>140504</v>
      </c>
      <c r="D656" s="24" t="str">
        <f>"14.140504/2024.00380/BNC"</f>
        <v>14.140504/2024.00380/BNC</v>
      </c>
      <c r="E656" s="24" t="str">
        <f>"140504240381"</f>
        <v>140504240381</v>
      </c>
      <c r="F656" s="24" t="str">
        <f t="shared" si="21"/>
        <v>TERMO PARA CAFÉ</v>
      </c>
      <c r="G656" s="24" t="s">
        <v>14</v>
      </c>
      <c r="H656" s="24" t="s">
        <v>15</v>
      </c>
      <c r="I656" s="27">
        <v>1</v>
      </c>
      <c r="J656" s="42" t="s">
        <v>16</v>
      </c>
      <c r="K656" s="10">
        <v>25</v>
      </c>
    </row>
    <row r="657" spans="1:11" ht="36.75" x14ac:dyDescent="0.3">
      <c r="A657" s="22">
        <v>653</v>
      </c>
      <c r="B657" s="23" t="s">
        <v>556</v>
      </c>
      <c r="C657" s="24" t="str">
        <f t="shared" si="20"/>
        <v>140504</v>
      </c>
      <c r="D657" s="24" t="str">
        <f>"14.140504/2024.00381/BNC"</f>
        <v>14.140504/2024.00381/BNC</v>
      </c>
      <c r="E657" s="24" t="str">
        <f>"140504240382"</f>
        <v>140504240382</v>
      </c>
      <c r="F657" s="24" t="str">
        <f t="shared" si="21"/>
        <v>TERMO PARA CAFÉ</v>
      </c>
      <c r="G657" s="24" t="s">
        <v>14</v>
      </c>
      <c r="H657" s="24" t="s">
        <v>15</v>
      </c>
      <c r="I657" s="27">
        <v>1</v>
      </c>
      <c r="J657" s="42" t="s">
        <v>16</v>
      </c>
      <c r="K657" s="10">
        <v>25</v>
      </c>
    </row>
    <row r="658" spans="1:11" ht="36.75" x14ac:dyDescent="0.3">
      <c r="A658" s="22">
        <v>654</v>
      </c>
      <c r="B658" s="23" t="s">
        <v>556</v>
      </c>
      <c r="C658" s="24" t="str">
        <f t="shared" si="20"/>
        <v>140504</v>
      </c>
      <c r="D658" s="24" t="str">
        <f>"14.140504/2024.00382/BNC"</f>
        <v>14.140504/2024.00382/BNC</v>
      </c>
      <c r="E658" s="24" t="str">
        <f>"140504240383"</f>
        <v>140504240383</v>
      </c>
      <c r="F658" s="24" t="str">
        <f t="shared" si="21"/>
        <v>TERMO PARA CAFÉ</v>
      </c>
      <c r="G658" s="24" t="s">
        <v>14</v>
      </c>
      <c r="H658" s="24" t="s">
        <v>15</v>
      </c>
      <c r="I658" s="27">
        <v>1</v>
      </c>
      <c r="J658" s="42" t="s">
        <v>16</v>
      </c>
      <c r="K658" s="10">
        <v>25</v>
      </c>
    </row>
    <row r="659" spans="1:11" ht="36.75" x14ac:dyDescent="0.3">
      <c r="A659" s="22">
        <v>655</v>
      </c>
      <c r="B659" s="23" t="s">
        <v>556</v>
      </c>
      <c r="C659" s="24" t="str">
        <f t="shared" si="20"/>
        <v>140504</v>
      </c>
      <c r="D659" s="24" t="str">
        <f>"14.140504/2024.00383/BNC"</f>
        <v>14.140504/2024.00383/BNC</v>
      </c>
      <c r="E659" s="24" t="str">
        <f>"140504240384"</f>
        <v>140504240384</v>
      </c>
      <c r="F659" s="24" t="str">
        <f>"TERMO PARA TORTILLAS"</f>
        <v>TERMO PARA TORTILLAS</v>
      </c>
      <c r="G659" s="24" t="s">
        <v>14</v>
      </c>
      <c r="H659" s="24" t="s">
        <v>15</v>
      </c>
      <c r="I659" s="27">
        <v>1</v>
      </c>
      <c r="J659" s="42" t="s">
        <v>16</v>
      </c>
      <c r="K659" s="10">
        <v>25</v>
      </c>
    </row>
    <row r="660" spans="1:11" ht="36.75" x14ac:dyDescent="0.3">
      <c r="A660" s="22">
        <v>656</v>
      </c>
      <c r="B660" s="23" t="s">
        <v>556</v>
      </c>
      <c r="C660" s="24" t="str">
        <f t="shared" si="20"/>
        <v>140504</v>
      </c>
      <c r="D660" s="24" t="str">
        <f>"14.140504/2024.00384/BNC"</f>
        <v>14.140504/2024.00384/BNC</v>
      </c>
      <c r="E660" s="24" t="str">
        <f>"140504240385"</f>
        <v>140504240385</v>
      </c>
      <c r="F660" s="24" t="str">
        <f t="shared" ref="F660:F668" si="22">"CANASTILLA PARA FRASCOS"</f>
        <v>CANASTILLA PARA FRASCOS</v>
      </c>
      <c r="G660" s="24" t="s">
        <v>14</v>
      </c>
      <c r="H660" s="24" t="s">
        <v>15</v>
      </c>
      <c r="I660" s="27">
        <v>1</v>
      </c>
      <c r="J660" s="42" t="s">
        <v>16</v>
      </c>
      <c r="K660" s="10">
        <v>20</v>
      </c>
    </row>
    <row r="661" spans="1:11" ht="36.75" x14ac:dyDescent="0.3">
      <c r="A661" s="22">
        <v>657</v>
      </c>
      <c r="B661" s="23" t="s">
        <v>556</v>
      </c>
      <c r="C661" s="24" t="str">
        <f t="shared" si="20"/>
        <v>140504</v>
      </c>
      <c r="D661" s="24" t="str">
        <f>"14.140504/2024.00385/BNC"</f>
        <v>14.140504/2024.00385/BNC</v>
      </c>
      <c r="E661" s="24" t="str">
        <f>"140504240386"</f>
        <v>140504240386</v>
      </c>
      <c r="F661" s="24" t="str">
        <f t="shared" si="22"/>
        <v>CANASTILLA PARA FRASCOS</v>
      </c>
      <c r="G661" s="24" t="s">
        <v>14</v>
      </c>
      <c r="H661" s="24" t="s">
        <v>15</v>
      </c>
      <c r="I661" s="27">
        <v>1</v>
      </c>
      <c r="J661" s="42" t="s">
        <v>16</v>
      </c>
      <c r="K661" s="10">
        <v>20</v>
      </c>
    </row>
    <row r="662" spans="1:11" ht="36.75" x14ac:dyDescent="0.3">
      <c r="A662" s="22">
        <v>658</v>
      </c>
      <c r="B662" s="23" t="s">
        <v>556</v>
      </c>
      <c r="C662" s="24" t="str">
        <f t="shared" si="20"/>
        <v>140504</v>
      </c>
      <c r="D662" s="24" t="str">
        <f>"14.140504/2024.00386/BNC"</f>
        <v>14.140504/2024.00386/BNC</v>
      </c>
      <c r="E662" s="24" t="str">
        <f>"140504240387"</f>
        <v>140504240387</v>
      </c>
      <c r="F662" s="24" t="str">
        <f t="shared" si="22"/>
        <v>CANASTILLA PARA FRASCOS</v>
      </c>
      <c r="G662" s="24" t="s">
        <v>14</v>
      </c>
      <c r="H662" s="24" t="s">
        <v>15</v>
      </c>
      <c r="I662" s="27">
        <v>1</v>
      </c>
      <c r="J662" s="42" t="s">
        <v>16</v>
      </c>
      <c r="K662" s="10">
        <v>20</v>
      </c>
    </row>
    <row r="663" spans="1:11" ht="36.75" x14ac:dyDescent="0.3">
      <c r="A663" s="22">
        <v>659</v>
      </c>
      <c r="B663" s="23" t="s">
        <v>556</v>
      </c>
      <c r="C663" s="24" t="str">
        <f t="shared" si="20"/>
        <v>140504</v>
      </c>
      <c r="D663" s="24" t="str">
        <f>"14.140504/2024.00387/BNC"</f>
        <v>14.140504/2024.00387/BNC</v>
      </c>
      <c r="E663" s="24" t="str">
        <f>"140504240388"</f>
        <v>140504240388</v>
      </c>
      <c r="F663" s="24" t="str">
        <f t="shared" si="22"/>
        <v>CANASTILLA PARA FRASCOS</v>
      </c>
      <c r="G663" s="24" t="s">
        <v>14</v>
      </c>
      <c r="H663" s="24" t="s">
        <v>15</v>
      </c>
      <c r="I663" s="27">
        <v>1</v>
      </c>
      <c r="J663" s="42" t="s">
        <v>16</v>
      </c>
      <c r="K663" s="10">
        <v>20</v>
      </c>
    </row>
    <row r="664" spans="1:11" ht="36.75" x14ac:dyDescent="0.3">
      <c r="A664" s="22">
        <v>660</v>
      </c>
      <c r="B664" s="23" t="s">
        <v>556</v>
      </c>
      <c r="C664" s="24" t="str">
        <f t="shared" si="20"/>
        <v>140504</v>
      </c>
      <c r="D664" s="24" t="str">
        <f>"14.140504/2024.00388/BNC"</f>
        <v>14.140504/2024.00388/BNC</v>
      </c>
      <c r="E664" s="24" t="str">
        <f>"140504240389"</f>
        <v>140504240389</v>
      </c>
      <c r="F664" s="24" t="str">
        <f t="shared" si="22"/>
        <v>CANASTILLA PARA FRASCOS</v>
      </c>
      <c r="G664" s="24" t="s">
        <v>14</v>
      </c>
      <c r="H664" s="24" t="s">
        <v>15</v>
      </c>
      <c r="I664" s="27">
        <v>1</v>
      </c>
      <c r="J664" s="42" t="s">
        <v>16</v>
      </c>
      <c r="K664" s="10">
        <v>20</v>
      </c>
    </row>
    <row r="665" spans="1:11" ht="36.75" x14ac:dyDescent="0.3">
      <c r="A665" s="22">
        <v>661</v>
      </c>
      <c r="B665" s="23" t="s">
        <v>556</v>
      </c>
      <c r="C665" s="24" t="str">
        <f t="shared" si="20"/>
        <v>140504</v>
      </c>
      <c r="D665" s="24" t="str">
        <f>"14.140504/2024.00389/BNC"</f>
        <v>14.140504/2024.00389/BNC</v>
      </c>
      <c r="E665" s="24" t="str">
        <f>"140504240390"</f>
        <v>140504240390</v>
      </c>
      <c r="F665" s="24" t="str">
        <f t="shared" si="22"/>
        <v>CANASTILLA PARA FRASCOS</v>
      </c>
      <c r="G665" s="24" t="s">
        <v>14</v>
      </c>
      <c r="H665" s="24" t="s">
        <v>15</v>
      </c>
      <c r="I665" s="27">
        <v>1</v>
      </c>
      <c r="J665" s="42" t="s">
        <v>16</v>
      </c>
      <c r="K665" s="10">
        <v>20</v>
      </c>
    </row>
    <row r="666" spans="1:11" ht="36.75" x14ac:dyDescent="0.3">
      <c r="A666" s="22">
        <v>662</v>
      </c>
      <c r="B666" s="23" t="s">
        <v>556</v>
      </c>
      <c r="C666" s="24" t="str">
        <f t="shared" si="20"/>
        <v>140504</v>
      </c>
      <c r="D666" s="24" t="str">
        <f>"14.140504/2024.00390/BNC"</f>
        <v>14.140504/2024.00390/BNC</v>
      </c>
      <c r="E666" s="24" t="str">
        <f>"140504240391"</f>
        <v>140504240391</v>
      </c>
      <c r="F666" s="24" t="str">
        <f t="shared" si="22"/>
        <v>CANASTILLA PARA FRASCOS</v>
      </c>
      <c r="G666" s="24" t="s">
        <v>14</v>
      </c>
      <c r="H666" s="24" t="s">
        <v>15</v>
      </c>
      <c r="I666" s="27">
        <v>1</v>
      </c>
      <c r="J666" s="42" t="s">
        <v>16</v>
      </c>
      <c r="K666" s="10">
        <v>20</v>
      </c>
    </row>
    <row r="667" spans="1:11" ht="36.75" x14ac:dyDescent="0.3">
      <c r="A667" s="22">
        <v>663</v>
      </c>
      <c r="B667" s="23" t="s">
        <v>556</v>
      </c>
      <c r="C667" s="24" t="str">
        <f t="shared" si="20"/>
        <v>140504</v>
      </c>
      <c r="D667" s="24" t="str">
        <f>"14.140504/2024.00391/BNC"</f>
        <v>14.140504/2024.00391/BNC</v>
      </c>
      <c r="E667" s="24" t="str">
        <f>"140504240392"</f>
        <v>140504240392</v>
      </c>
      <c r="F667" s="24" t="str">
        <f t="shared" si="22"/>
        <v>CANASTILLA PARA FRASCOS</v>
      </c>
      <c r="G667" s="24" t="s">
        <v>14</v>
      </c>
      <c r="H667" s="24" t="s">
        <v>15</v>
      </c>
      <c r="I667" s="27">
        <v>1</v>
      </c>
      <c r="J667" s="42" t="s">
        <v>16</v>
      </c>
      <c r="K667" s="10">
        <v>20</v>
      </c>
    </row>
    <row r="668" spans="1:11" ht="36.75" x14ac:dyDescent="0.3">
      <c r="A668" s="22">
        <v>664</v>
      </c>
      <c r="B668" s="23" t="s">
        <v>556</v>
      </c>
      <c r="C668" s="24" t="str">
        <f t="shared" si="20"/>
        <v>140504</v>
      </c>
      <c r="D668" s="24" t="str">
        <f>"14.140504/2024.00392/BNC"</f>
        <v>14.140504/2024.00392/BNC</v>
      </c>
      <c r="E668" s="24" t="str">
        <f>"140504240393"</f>
        <v>140504240393</v>
      </c>
      <c r="F668" s="24" t="str">
        <f t="shared" si="22"/>
        <v>CANASTILLA PARA FRASCOS</v>
      </c>
      <c r="G668" s="24" t="s">
        <v>14</v>
      </c>
      <c r="H668" s="24" t="s">
        <v>15</v>
      </c>
      <c r="I668" s="27">
        <v>1</v>
      </c>
      <c r="J668" s="42" t="s">
        <v>16</v>
      </c>
      <c r="K668" s="10">
        <v>20</v>
      </c>
    </row>
    <row r="669" spans="1:11" ht="36.75" x14ac:dyDescent="0.3">
      <c r="A669" s="22">
        <v>665</v>
      </c>
      <c r="B669" s="23" t="s">
        <v>556</v>
      </c>
      <c r="C669" s="24" t="str">
        <f t="shared" si="20"/>
        <v>140504</v>
      </c>
      <c r="D669" s="24" t="str">
        <f>"14.140504/2024.00393/BNC"</f>
        <v>14.140504/2024.00393/BNC</v>
      </c>
      <c r="E669" s="24" t="str">
        <f>"140504240394"</f>
        <v>140504240394</v>
      </c>
      <c r="F669" s="24" t="str">
        <f t="shared" ref="F669:F676" si="23">"TERMO PORTA PAN"</f>
        <v>TERMO PORTA PAN</v>
      </c>
      <c r="G669" s="24" t="s">
        <v>14</v>
      </c>
      <c r="H669" s="24" t="s">
        <v>15</v>
      </c>
      <c r="I669" s="27">
        <v>1</v>
      </c>
      <c r="J669" s="42" t="s">
        <v>16</v>
      </c>
      <c r="K669" s="10">
        <v>20</v>
      </c>
    </row>
    <row r="670" spans="1:11" ht="36.75" x14ac:dyDescent="0.3">
      <c r="A670" s="22">
        <v>666</v>
      </c>
      <c r="B670" s="23" t="s">
        <v>556</v>
      </c>
      <c r="C670" s="24" t="str">
        <f t="shared" si="20"/>
        <v>140504</v>
      </c>
      <c r="D670" s="24" t="str">
        <f>"14.140504/2024.00394/BNC"</f>
        <v>14.140504/2024.00394/BNC</v>
      </c>
      <c r="E670" s="24" t="str">
        <f>"140504240395"</f>
        <v>140504240395</v>
      </c>
      <c r="F670" s="24" t="str">
        <f t="shared" si="23"/>
        <v>TERMO PORTA PAN</v>
      </c>
      <c r="G670" s="24" t="s">
        <v>14</v>
      </c>
      <c r="H670" s="24" t="s">
        <v>15</v>
      </c>
      <c r="I670" s="27">
        <v>1</v>
      </c>
      <c r="J670" s="42" t="s">
        <v>16</v>
      </c>
      <c r="K670" s="10">
        <v>20</v>
      </c>
    </row>
    <row r="671" spans="1:11" ht="36.75" x14ac:dyDescent="0.3">
      <c r="A671" s="22">
        <v>667</v>
      </c>
      <c r="B671" s="23" t="s">
        <v>556</v>
      </c>
      <c r="C671" s="24" t="str">
        <f t="shared" si="20"/>
        <v>140504</v>
      </c>
      <c r="D671" s="24" t="str">
        <f>"14.140504/2024.00395/BNC"</f>
        <v>14.140504/2024.00395/BNC</v>
      </c>
      <c r="E671" s="24" t="str">
        <f>"140504240396"</f>
        <v>140504240396</v>
      </c>
      <c r="F671" s="24" t="str">
        <f t="shared" si="23"/>
        <v>TERMO PORTA PAN</v>
      </c>
      <c r="G671" s="24" t="s">
        <v>14</v>
      </c>
      <c r="H671" s="24" t="s">
        <v>15</v>
      </c>
      <c r="I671" s="27">
        <v>1</v>
      </c>
      <c r="J671" s="42" t="s">
        <v>16</v>
      </c>
      <c r="K671" s="10">
        <v>20</v>
      </c>
    </row>
    <row r="672" spans="1:11" ht="36.75" x14ac:dyDescent="0.3">
      <c r="A672" s="22">
        <v>668</v>
      </c>
      <c r="B672" s="23" t="s">
        <v>556</v>
      </c>
      <c r="C672" s="24" t="str">
        <f t="shared" si="20"/>
        <v>140504</v>
      </c>
      <c r="D672" s="24" t="str">
        <f>"14.140504/2024.00396/BNC"</f>
        <v>14.140504/2024.00396/BNC</v>
      </c>
      <c r="E672" s="24" t="str">
        <f>"140504240397"</f>
        <v>140504240397</v>
      </c>
      <c r="F672" s="24" t="str">
        <f t="shared" si="23"/>
        <v>TERMO PORTA PAN</v>
      </c>
      <c r="G672" s="24" t="s">
        <v>14</v>
      </c>
      <c r="H672" s="24" t="s">
        <v>15</v>
      </c>
      <c r="I672" s="27">
        <v>1</v>
      </c>
      <c r="J672" s="42" t="s">
        <v>16</v>
      </c>
      <c r="K672" s="10">
        <v>20</v>
      </c>
    </row>
    <row r="673" spans="1:11" ht="36.75" x14ac:dyDescent="0.3">
      <c r="A673" s="22">
        <v>669</v>
      </c>
      <c r="B673" s="23" t="s">
        <v>556</v>
      </c>
      <c r="C673" s="24" t="str">
        <f t="shared" si="20"/>
        <v>140504</v>
      </c>
      <c r="D673" s="24" t="str">
        <f>"14.140504/2024.00397/BNC"</f>
        <v>14.140504/2024.00397/BNC</v>
      </c>
      <c r="E673" s="24" t="str">
        <f>"140504240398"</f>
        <v>140504240398</v>
      </c>
      <c r="F673" s="24" t="str">
        <f t="shared" si="23"/>
        <v>TERMO PORTA PAN</v>
      </c>
      <c r="G673" s="24" t="s">
        <v>14</v>
      </c>
      <c r="H673" s="24" t="s">
        <v>15</v>
      </c>
      <c r="I673" s="27">
        <v>1</v>
      </c>
      <c r="J673" s="42" t="s">
        <v>16</v>
      </c>
      <c r="K673" s="10">
        <v>20</v>
      </c>
    </row>
    <row r="674" spans="1:11" ht="36.75" x14ac:dyDescent="0.3">
      <c r="A674" s="22">
        <v>670</v>
      </c>
      <c r="B674" s="23" t="s">
        <v>556</v>
      </c>
      <c r="C674" s="24" t="str">
        <f t="shared" si="20"/>
        <v>140504</v>
      </c>
      <c r="D674" s="24" t="str">
        <f>"14.140504/2024.00398/BNC"</f>
        <v>14.140504/2024.00398/BNC</v>
      </c>
      <c r="E674" s="24" t="str">
        <f>"140504240399"</f>
        <v>140504240399</v>
      </c>
      <c r="F674" s="24" t="str">
        <f t="shared" si="23"/>
        <v>TERMO PORTA PAN</v>
      </c>
      <c r="G674" s="24" t="s">
        <v>14</v>
      </c>
      <c r="H674" s="24" t="s">
        <v>15</v>
      </c>
      <c r="I674" s="27">
        <v>1</v>
      </c>
      <c r="J674" s="42" t="s">
        <v>16</v>
      </c>
      <c r="K674" s="10">
        <v>20</v>
      </c>
    </row>
    <row r="675" spans="1:11" ht="36.75" x14ac:dyDescent="0.3">
      <c r="A675" s="22">
        <v>671</v>
      </c>
      <c r="B675" s="23" t="s">
        <v>556</v>
      </c>
      <c r="C675" s="24" t="str">
        <f t="shared" si="20"/>
        <v>140504</v>
      </c>
      <c r="D675" s="24" t="str">
        <f>"14.140504/2024.00399/BNC"</f>
        <v>14.140504/2024.00399/BNC</v>
      </c>
      <c r="E675" s="24" t="str">
        <f>"140504240400"</f>
        <v>140504240400</v>
      </c>
      <c r="F675" s="24" t="str">
        <f t="shared" si="23"/>
        <v>TERMO PORTA PAN</v>
      </c>
      <c r="G675" s="24" t="s">
        <v>14</v>
      </c>
      <c r="H675" s="24" t="s">
        <v>15</v>
      </c>
      <c r="I675" s="27">
        <v>1</v>
      </c>
      <c r="J675" s="42" t="s">
        <v>16</v>
      </c>
      <c r="K675" s="10">
        <v>20</v>
      </c>
    </row>
    <row r="676" spans="1:11" ht="36.75" x14ac:dyDescent="0.3">
      <c r="A676" s="22">
        <v>672</v>
      </c>
      <c r="B676" s="23" t="s">
        <v>556</v>
      </c>
      <c r="C676" s="24" t="str">
        <f t="shared" si="20"/>
        <v>140504</v>
      </c>
      <c r="D676" s="24" t="str">
        <f>"14.140504/2024.00400/BNC"</f>
        <v>14.140504/2024.00400/BNC</v>
      </c>
      <c r="E676" s="24" t="str">
        <f>"140504240401"</f>
        <v>140504240401</v>
      </c>
      <c r="F676" s="24" t="str">
        <f t="shared" si="23"/>
        <v>TERMO PORTA PAN</v>
      </c>
      <c r="G676" s="24" t="s">
        <v>14</v>
      </c>
      <c r="H676" s="24" t="s">
        <v>15</v>
      </c>
      <c r="I676" s="27">
        <v>1</v>
      </c>
      <c r="J676" s="42" t="s">
        <v>16</v>
      </c>
      <c r="K676" s="10">
        <v>20</v>
      </c>
    </row>
    <row r="677" spans="1:11" ht="36.75" x14ac:dyDescent="0.3">
      <c r="A677" s="22">
        <v>673</v>
      </c>
      <c r="B677" s="23" t="s">
        <v>556</v>
      </c>
      <c r="C677" s="24" t="str">
        <f t="shared" si="20"/>
        <v>140504</v>
      </c>
      <c r="D677" s="24" t="str">
        <f>"14.140504/2024.00401/BNC"</f>
        <v>14.140504/2024.00401/BNC</v>
      </c>
      <c r="E677" s="24" t="str">
        <f>"140504240402"</f>
        <v>140504240402</v>
      </c>
      <c r="F677" s="24" t="str">
        <f>"CAMPANA DE ACERO INOXIDABLE"</f>
        <v>CAMPANA DE ACERO INOXIDABLE</v>
      </c>
      <c r="G677" s="24" t="s">
        <v>14</v>
      </c>
      <c r="H677" s="24" t="s">
        <v>15</v>
      </c>
      <c r="I677" s="27">
        <v>1</v>
      </c>
      <c r="J677" s="42" t="s">
        <v>16</v>
      </c>
      <c r="K677" s="10">
        <v>100</v>
      </c>
    </row>
    <row r="678" spans="1:11" ht="36.75" x14ac:dyDescent="0.3">
      <c r="A678" s="22">
        <v>674</v>
      </c>
      <c r="B678" s="23" t="s">
        <v>556</v>
      </c>
      <c r="C678" s="24" t="str">
        <f t="shared" si="20"/>
        <v>140504</v>
      </c>
      <c r="D678" s="24" t="str">
        <f>"14.140504/2024.00402/BNC"</f>
        <v>14.140504/2024.00402/BNC</v>
      </c>
      <c r="E678" s="24" t="str">
        <f>"140504240403"</f>
        <v>140504240403</v>
      </c>
      <c r="F678" s="24" t="str">
        <f>"TERMO PARA CAFÉ"</f>
        <v>TERMO PARA CAFÉ</v>
      </c>
      <c r="G678" s="24" t="s">
        <v>14</v>
      </c>
      <c r="H678" s="24" t="s">
        <v>15</v>
      </c>
      <c r="I678" s="27">
        <v>1</v>
      </c>
      <c r="J678" s="42" t="s">
        <v>16</v>
      </c>
      <c r="K678" s="10">
        <v>15</v>
      </c>
    </row>
    <row r="679" spans="1:11" ht="36.75" x14ac:dyDescent="0.3">
      <c r="A679" s="22">
        <v>675</v>
      </c>
      <c r="B679" s="23" t="s">
        <v>557</v>
      </c>
      <c r="C679" s="24" t="str">
        <f t="shared" ref="C679:C698" si="24">"142401"</f>
        <v>142401</v>
      </c>
      <c r="D679" s="24" t="str">
        <f>"14.142401/2024.00044/BNC"</f>
        <v>14.142401/2024.00044/BNC</v>
      </c>
      <c r="E679" s="24" t="str">
        <f>"142401240044"</f>
        <v>142401240044</v>
      </c>
      <c r="F679" s="24" t="str">
        <f>"AUTOCLAVE PORTATIL18 L SN C2 (TIPO OLLA EXPRESS)"</f>
        <v>AUTOCLAVE PORTATIL18 L SN C2 (TIPO OLLA EXPRESS)</v>
      </c>
      <c r="G679" s="24" t="s">
        <v>14</v>
      </c>
      <c r="H679" s="24" t="s">
        <v>15</v>
      </c>
      <c r="I679" s="27">
        <v>1</v>
      </c>
      <c r="J679" s="42" t="s">
        <v>16</v>
      </c>
      <c r="K679" s="10">
        <v>50</v>
      </c>
    </row>
    <row r="680" spans="1:11" ht="54.75" x14ac:dyDescent="0.3">
      <c r="A680" s="22">
        <v>676</v>
      </c>
      <c r="B680" s="23" t="s">
        <v>557</v>
      </c>
      <c r="C680" s="24" t="str">
        <f t="shared" si="24"/>
        <v>142401</v>
      </c>
      <c r="D680" s="24" t="str">
        <f>"14.142401/2024.00045/BNC"</f>
        <v>14.142401/2024.00045/BNC</v>
      </c>
      <c r="E680" s="24" t="str">
        <f>"142401240045"</f>
        <v>142401240045</v>
      </c>
      <c r="F680" s="24" t="str">
        <f>"MEZCLADOR DE MUESTRAS 2004400019354 J600 CENTRIFUGA DE MESA"</f>
        <v>MEZCLADOR DE MUESTRAS 2004400019354 J600 CENTRIFUGA DE MESA</v>
      </c>
      <c r="G680" s="24" t="s">
        <v>14</v>
      </c>
      <c r="H680" s="24" t="s">
        <v>15</v>
      </c>
      <c r="I680" s="27">
        <v>1</v>
      </c>
      <c r="J680" s="42" t="s">
        <v>16</v>
      </c>
      <c r="K680" s="10">
        <v>50</v>
      </c>
    </row>
    <row r="681" spans="1:11" ht="36.75" x14ac:dyDescent="0.3">
      <c r="A681" s="22">
        <v>677</v>
      </c>
      <c r="B681" s="23" t="s">
        <v>557</v>
      </c>
      <c r="C681" s="24" t="str">
        <f t="shared" si="24"/>
        <v>142401</v>
      </c>
      <c r="D681" s="24" t="str">
        <f>"14.142401/2024.00046/BNC"</f>
        <v>14.142401/2024.00046/BNC</v>
      </c>
      <c r="E681" s="24" t="str">
        <f>"142401240046"</f>
        <v>142401240046</v>
      </c>
      <c r="F681" s="24" t="str">
        <f>"MICROSCOPIO CARL ZEIZZ"</f>
        <v>MICROSCOPIO CARL ZEIZZ</v>
      </c>
      <c r="G681" s="24" t="s">
        <v>14</v>
      </c>
      <c r="H681" s="24" t="s">
        <v>15</v>
      </c>
      <c r="I681" s="27">
        <v>1</v>
      </c>
      <c r="J681" s="42" t="s">
        <v>16</v>
      </c>
      <c r="K681" s="10">
        <v>25</v>
      </c>
    </row>
    <row r="682" spans="1:11" ht="36.75" x14ac:dyDescent="0.3">
      <c r="A682" s="22">
        <v>678</v>
      </c>
      <c r="B682" s="23" t="s">
        <v>557</v>
      </c>
      <c r="C682" s="24" t="str">
        <f t="shared" si="24"/>
        <v>142401</v>
      </c>
      <c r="D682" s="24" t="str">
        <f>"14.142401/2024.00047/BNC"</f>
        <v>14.142401/2024.00047/BNC</v>
      </c>
      <c r="E682" s="24" t="str">
        <f>"142401240047"</f>
        <v>142401240047</v>
      </c>
      <c r="F682" s="24" t="str">
        <f>"CUBETA DE ACERO INOXIDABLE"</f>
        <v>CUBETA DE ACERO INOXIDABLE</v>
      </c>
      <c r="G682" s="24" t="s">
        <v>14</v>
      </c>
      <c r="H682" s="24" t="s">
        <v>15</v>
      </c>
      <c r="I682" s="27">
        <v>1</v>
      </c>
      <c r="J682" s="42" t="s">
        <v>16</v>
      </c>
      <c r="K682" s="10">
        <v>35</v>
      </c>
    </row>
    <row r="683" spans="1:11" ht="36.75" x14ac:dyDescent="0.3">
      <c r="A683" s="22">
        <v>679</v>
      </c>
      <c r="B683" s="23" t="s">
        <v>557</v>
      </c>
      <c r="C683" s="24" t="str">
        <f t="shared" si="24"/>
        <v>142401</v>
      </c>
      <c r="D683" s="24" t="str">
        <f>"14.142401/2024.00048/BNC"</f>
        <v>14.142401/2024.00048/BNC</v>
      </c>
      <c r="E683" s="24" t="str">
        <f>"142401240048"</f>
        <v>142401240048</v>
      </c>
      <c r="F683" s="24" t="str">
        <f>"CUBETA DE ACERO INOXIDABLE"</f>
        <v>CUBETA DE ACERO INOXIDABLE</v>
      </c>
      <c r="G683" s="24" t="s">
        <v>14</v>
      </c>
      <c r="H683" s="24" t="s">
        <v>15</v>
      </c>
      <c r="I683" s="27">
        <v>1</v>
      </c>
      <c r="J683" s="42" t="s">
        <v>16</v>
      </c>
      <c r="K683" s="10">
        <v>35</v>
      </c>
    </row>
    <row r="684" spans="1:11" ht="36.75" x14ac:dyDescent="0.3">
      <c r="A684" s="22">
        <v>680</v>
      </c>
      <c r="B684" s="23" t="s">
        <v>557</v>
      </c>
      <c r="C684" s="24" t="str">
        <f t="shared" si="24"/>
        <v>142401</v>
      </c>
      <c r="D684" s="24" t="str">
        <f>"14.142401/2024.00049/BNC"</f>
        <v>14.142401/2024.00049/BNC</v>
      </c>
      <c r="E684" s="24" t="str">
        <f>"142401240049"</f>
        <v>142401240049</v>
      </c>
      <c r="F684" s="24" t="str">
        <f>"CUBETA DE ACERO INOXIDABLE"</f>
        <v>CUBETA DE ACERO INOXIDABLE</v>
      </c>
      <c r="G684" s="24" t="s">
        <v>14</v>
      </c>
      <c r="H684" s="24" t="s">
        <v>15</v>
      </c>
      <c r="I684" s="27">
        <v>1</v>
      </c>
      <c r="J684" s="42" t="s">
        <v>16</v>
      </c>
      <c r="K684" s="10">
        <v>35</v>
      </c>
    </row>
    <row r="685" spans="1:11" ht="36.75" x14ac:dyDescent="0.3">
      <c r="A685" s="22">
        <v>681</v>
      </c>
      <c r="B685" s="23" t="s">
        <v>557</v>
      </c>
      <c r="C685" s="24" t="str">
        <f t="shared" si="24"/>
        <v>142401</v>
      </c>
      <c r="D685" s="24" t="str">
        <f>"14.142401/2024.00050/BNC"</f>
        <v>14.142401/2024.00050/BNC</v>
      </c>
      <c r="E685" s="24" t="str">
        <f>"142401240050"</f>
        <v>142401240050</v>
      </c>
      <c r="F685" s="24" t="str">
        <f t="shared" ref="F685:F692" si="25">"SILLA SECRETARIAL"</f>
        <v>SILLA SECRETARIAL</v>
      </c>
      <c r="G685" s="24" t="s">
        <v>14</v>
      </c>
      <c r="H685" s="24" t="s">
        <v>15</v>
      </c>
      <c r="I685" s="27">
        <v>1</v>
      </c>
      <c r="J685" s="42" t="s">
        <v>16</v>
      </c>
      <c r="K685" s="10">
        <v>25</v>
      </c>
    </row>
    <row r="686" spans="1:11" ht="36.75" x14ac:dyDescent="0.3">
      <c r="A686" s="22">
        <v>682</v>
      </c>
      <c r="B686" s="23" t="s">
        <v>557</v>
      </c>
      <c r="C686" s="24" t="str">
        <f t="shared" si="24"/>
        <v>142401</v>
      </c>
      <c r="D686" s="24" t="str">
        <f>"14.142401/2024.00051/BNC"</f>
        <v>14.142401/2024.00051/BNC</v>
      </c>
      <c r="E686" s="24" t="str">
        <f>"142401240051"</f>
        <v>142401240051</v>
      </c>
      <c r="F686" s="24" t="str">
        <f t="shared" si="25"/>
        <v>SILLA SECRETARIAL</v>
      </c>
      <c r="G686" s="24" t="s">
        <v>14</v>
      </c>
      <c r="H686" s="24" t="s">
        <v>15</v>
      </c>
      <c r="I686" s="27">
        <v>1</v>
      </c>
      <c r="J686" s="42" t="s">
        <v>16</v>
      </c>
      <c r="K686" s="10">
        <v>25</v>
      </c>
    </row>
    <row r="687" spans="1:11" ht="36.75" x14ac:dyDescent="0.3">
      <c r="A687" s="22">
        <v>683</v>
      </c>
      <c r="B687" s="23" t="s">
        <v>557</v>
      </c>
      <c r="C687" s="24" t="str">
        <f t="shared" si="24"/>
        <v>142401</v>
      </c>
      <c r="D687" s="24" t="str">
        <f>"14.142401/2024.00052/BNC"</f>
        <v>14.142401/2024.00052/BNC</v>
      </c>
      <c r="E687" s="24" t="str">
        <f>"142401240052"</f>
        <v>142401240052</v>
      </c>
      <c r="F687" s="24" t="str">
        <f t="shared" si="25"/>
        <v>SILLA SECRETARIAL</v>
      </c>
      <c r="G687" s="24" t="s">
        <v>14</v>
      </c>
      <c r="H687" s="24" t="s">
        <v>15</v>
      </c>
      <c r="I687" s="27">
        <v>1</v>
      </c>
      <c r="J687" s="42" t="s">
        <v>16</v>
      </c>
      <c r="K687" s="10">
        <v>25</v>
      </c>
    </row>
    <row r="688" spans="1:11" ht="36.75" x14ac:dyDescent="0.3">
      <c r="A688" s="22">
        <v>684</v>
      </c>
      <c r="B688" s="23" t="s">
        <v>557</v>
      </c>
      <c r="C688" s="24" t="str">
        <f t="shared" si="24"/>
        <v>142401</v>
      </c>
      <c r="D688" s="24" t="str">
        <f>"14.142401/2024.00053/BNC"</f>
        <v>14.142401/2024.00053/BNC</v>
      </c>
      <c r="E688" s="24" t="str">
        <f>"142401240053"</f>
        <v>142401240053</v>
      </c>
      <c r="F688" s="24" t="str">
        <f t="shared" si="25"/>
        <v>SILLA SECRETARIAL</v>
      </c>
      <c r="G688" s="24" t="s">
        <v>14</v>
      </c>
      <c r="H688" s="24" t="s">
        <v>15</v>
      </c>
      <c r="I688" s="27">
        <v>1</v>
      </c>
      <c r="J688" s="42" t="s">
        <v>16</v>
      </c>
      <c r="K688" s="10">
        <v>25</v>
      </c>
    </row>
    <row r="689" spans="1:11" ht="36.75" x14ac:dyDescent="0.3">
      <c r="A689" s="22">
        <v>685</v>
      </c>
      <c r="B689" s="23" t="s">
        <v>557</v>
      </c>
      <c r="C689" s="24" t="str">
        <f t="shared" si="24"/>
        <v>142401</v>
      </c>
      <c r="D689" s="24" t="str">
        <f>"14.142401/2024.00054/BNC"</f>
        <v>14.142401/2024.00054/BNC</v>
      </c>
      <c r="E689" s="24" t="str">
        <f>"142401240054"</f>
        <v>142401240054</v>
      </c>
      <c r="F689" s="24" t="str">
        <f t="shared" si="25"/>
        <v>SILLA SECRETARIAL</v>
      </c>
      <c r="G689" s="24" t="s">
        <v>14</v>
      </c>
      <c r="H689" s="24" t="s">
        <v>15</v>
      </c>
      <c r="I689" s="27">
        <v>1</v>
      </c>
      <c r="J689" s="42" t="s">
        <v>16</v>
      </c>
      <c r="K689" s="10">
        <v>25</v>
      </c>
    </row>
    <row r="690" spans="1:11" ht="36.75" x14ac:dyDescent="0.3">
      <c r="A690" s="22">
        <v>686</v>
      </c>
      <c r="B690" s="23" t="s">
        <v>557</v>
      </c>
      <c r="C690" s="24" t="str">
        <f t="shared" si="24"/>
        <v>142401</v>
      </c>
      <c r="D690" s="24" t="str">
        <f>"14.142401/2024.00055/BNC"</f>
        <v>14.142401/2024.00055/BNC</v>
      </c>
      <c r="E690" s="24" t="str">
        <f>"142401240055"</f>
        <v>142401240055</v>
      </c>
      <c r="F690" s="24" t="str">
        <f t="shared" si="25"/>
        <v>SILLA SECRETARIAL</v>
      </c>
      <c r="G690" s="24" t="s">
        <v>14</v>
      </c>
      <c r="H690" s="24" t="s">
        <v>15</v>
      </c>
      <c r="I690" s="27">
        <v>1</v>
      </c>
      <c r="J690" s="42" t="s">
        <v>16</v>
      </c>
      <c r="K690" s="10">
        <v>25</v>
      </c>
    </row>
    <row r="691" spans="1:11" ht="36.75" x14ac:dyDescent="0.3">
      <c r="A691" s="22">
        <v>687</v>
      </c>
      <c r="B691" s="23" t="s">
        <v>557</v>
      </c>
      <c r="C691" s="24" t="str">
        <f t="shared" si="24"/>
        <v>142401</v>
      </c>
      <c r="D691" s="24" t="str">
        <f>"14.142401/2024.00056/BNC"</f>
        <v>14.142401/2024.00056/BNC</v>
      </c>
      <c r="E691" s="24" t="str">
        <f>"142401240056"</f>
        <v>142401240056</v>
      </c>
      <c r="F691" s="24" t="str">
        <f t="shared" si="25"/>
        <v>SILLA SECRETARIAL</v>
      </c>
      <c r="G691" s="24" t="s">
        <v>14</v>
      </c>
      <c r="H691" s="24" t="s">
        <v>15</v>
      </c>
      <c r="I691" s="27">
        <v>1</v>
      </c>
      <c r="J691" s="42" t="s">
        <v>16</v>
      </c>
      <c r="K691" s="10">
        <v>25</v>
      </c>
    </row>
    <row r="692" spans="1:11" ht="36.75" x14ac:dyDescent="0.3">
      <c r="A692" s="22">
        <v>688</v>
      </c>
      <c r="B692" s="23" t="s">
        <v>557</v>
      </c>
      <c r="C692" s="24" t="str">
        <f t="shared" si="24"/>
        <v>142401</v>
      </c>
      <c r="D692" s="24" t="str">
        <f>"14.142401/2024.00057/BNC"</f>
        <v>14.142401/2024.00057/BNC</v>
      </c>
      <c r="E692" s="24" t="str">
        <f>"142401240057"</f>
        <v>142401240057</v>
      </c>
      <c r="F692" s="24" t="str">
        <f t="shared" si="25"/>
        <v>SILLA SECRETARIAL</v>
      </c>
      <c r="G692" s="24" t="s">
        <v>14</v>
      </c>
      <c r="H692" s="24" t="s">
        <v>15</v>
      </c>
      <c r="I692" s="27">
        <v>1</v>
      </c>
      <c r="J692" s="42" t="s">
        <v>16</v>
      </c>
      <c r="K692" s="10">
        <v>25</v>
      </c>
    </row>
    <row r="693" spans="1:11" ht="36.75" x14ac:dyDescent="0.3">
      <c r="A693" s="22">
        <v>689</v>
      </c>
      <c r="B693" s="23" t="s">
        <v>557</v>
      </c>
      <c r="C693" s="24" t="str">
        <f t="shared" si="24"/>
        <v>142401</v>
      </c>
      <c r="D693" s="24" t="str">
        <f>"14.142401/2024.00058/BNC"</f>
        <v>14.142401/2024.00058/BNC</v>
      </c>
      <c r="E693" s="24" t="str">
        <f>"142401240058"</f>
        <v>142401240058</v>
      </c>
      <c r="F693" s="24" t="str">
        <f>"SILLA SECRETARIAL FIJA"</f>
        <v>SILLA SECRETARIAL FIJA</v>
      </c>
      <c r="G693" s="24" t="s">
        <v>14</v>
      </c>
      <c r="H693" s="24" t="s">
        <v>15</v>
      </c>
      <c r="I693" s="27">
        <v>1</v>
      </c>
      <c r="J693" s="42" t="s">
        <v>16</v>
      </c>
      <c r="K693" s="10">
        <v>25</v>
      </c>
    </row>
    <row r="694" spans="1:11" ht="36.75" x14ac:dyDescent="0.3">
      <c r="A694" s="22">
        <v>690</v>
      </c>
      <c r="B694" s="23" t="s">
        <v>557</v>
      </c>
      <c r="C694" s="24" t="str">
        <f t="shared" si="24"/>
        <v>142401</v>
      </c>
      <c r="D694" s="24" t="str">
        <f>"14.142401/2024.00059/BNC"</f>
        <v>14.142401/2024.00059/BNC</v>
      </c>
      <c r="E694" s="24" t="str">
        <f>"142401240059"</f>
        <v>142401240059</v>
      </c>
      <c r="F694" s="24" t="str">
        <f>"SILLA SECRETARIAL FIJA"</f>
        <v>SILLA SECRETARIAL FIJA</v>
      </c>
      <c r="G694" s="24" t="s">
        <v>14</v>
      </c>
      <c r="H694" s="24" t="s">
        <v>15</v>
      </c>
      <c r="I694" s="27">
        <v>1</v>
      </c>
      <c r="J694" s="42" t="s">
        <v>16</v>
      </c>
      <c r="K694" s="10">
        <v>25</v>
      </c>
    </row>
    <row r="695" spans="1:11" ht="36.75" x14ac:dyDescent="0.3">
      <c r="A695" s="22">
        <v>691</v>
      </c>
      <c r="B695" s="23" t="s">
        <v>557</v>
      </c>
      <c r="C695" s="24" t="str">
        <f t="shared" si="24"/>
        <v>142401</v>
      </c>
      <c r="D695" s="24" t="str">
        <f>"14.142401/2024.00060/BNC"</f>
        <v>14.142401/2024.00060/BNC</v>
      </c>
      <c r="E695" s="24" t="str">
        <f>"142401240060"</f>
        <v>142401240060</v>
      </c>
      <c r="F695" s="24" t="str">
        <f>"SILLA SECRETARIAL FIJA"</f>
        <v>SILLA SECRETARIAL FIJA</v>
      </c>
      <c r="G695" s="24" t="s">
        <v>14</v>
      </c>
      <c r="H695" s="24" t="s">
        <v>15</v>
      </c>
      <c r="I695" s="27">
        <v>1</v>
      </c>
      <c r="J695" s="42" t="s">
        <v>16</v>
      </c>
      <c r="K695" s="10">
        <v>25</v>
      </c>
    </row>
    <row r="696" spans="1:11" ht="36.75" x14ac:dyDescent="0.3">
      <c r="A696" s="22">
        <v>692</v>
      </c>
      <c r="B696" s="23" t="s">
        <v>557</v>
      </c>
      <c r="C696" s="24" t="str">
        <f t="shared" si="24"/>
        <v>142401</v>
      </c>
      <c r="D696" s="24" t="str">
        <f>"14.142401/2024.00061/BNC"</f>
        <v>14.142401/2024.00061/BNC</v>
      </c>
      <c r="E696" s="24" t="str">
        <f>"142401240061"</f>
        <v>142401240061</v>
      </c>
      <c r="F696" s="24" t="str">
        <f>"VENTILADOR"</f>
        <v>VENTILADOR</v>
      </c>
      <c r="G696" s="24" t="s">
        <v>14</v>
      </c>
      <c r="H696" s="24" t="s">
        <v>15</v>
      </c>
      <c r="I696" s="27">
        <v>1</v>
      </c>
      <c r="J696" s="42" t="s">
        <v>16</v>
      </c>
      <c r="K696" s="10">
        <v>20</v>
      </c>
    </row>
    <row r="697" spans="1:11" ht="36.75" x14ac:dyDescent="0.3">
      <c r="A697" s="22">
        <v>693</v>
      </c>
      <c r="B697" s="23" t="s">
        <v>557</v>
      </c>
      <c r="C697" s="24" t="str">
        <f t="shared" si="24"/>
        <v>142401</v>
      </c>
      <c r="D697" s="24" t="str">
        <f>"14.142401/2024.00062/BNC"</f>
        <v>14.142401/2024.00062/BNC</v>
      </c>
      <c r="E697" s="24" t="str">
        <f>"142401240062"</f>
        <v>142401240062</v>
      </c>
      <c r="F697" s="24" t="str">
        <f>"VENTILADOR"</f>
        <v>VENTILADOR</v>
      </c>
      <c r="G697" s="24" t="s">
        <v>14</v>
      </c>
      <c r="H697" s="24" t="s">
        <v>15</v>
      </c>
      <c r="I697" s="27">
        <v>1</v>
      </c>
      <c r="J697" s="42" t="s">
        <v>16</v>
      </c>
      <c r="K697" s="10">
        <v>20</v>
      </c>
    </row>
    <row r="698" spans="1:11" ht="36.75" x14ac:dyDescent="0.3">
      <c r="A698" s="22">
        <v>694</v>
      </c>
      <c r="B698" s="23" t="s">
        <v>557</v>
      </c>
      <c r="C698" s="24" t="str">
        <f t="shared" si="24"/>
        <v>142401</v>
      </c>
      <c r="D698" s="24" t="str">
        <f>"14.142401/2024.00063/BNC"</f>
        <v>14.142401/2024.00063/BNC</v>
      </c>
      <c r="E698" s="24" t="str">
        <f>"142401240063"</f>
        <v>142401240063</v>
      </c>
      <c r="F698" s="24" t="str">
        <f>"SILLA DE RUEDAS"</f>
        <v>SILLA DE RUEDAS</v>
      </c>
      <c r="G698" s="24" t="s">
        <v>14</v>
      </c>
      <c r="H698" s="24" t="s">
        <v>15</v>
      </c>
      <c r="I698" s="27">
        <v>1</v>
      </c>
      <c r="J698" s="42" t="s">
        <v>16</v>
      </c>
      <c r="K698" s="10">
        <v>35</v>
      </c>
    </row>
    <row r="699" spans="1:11" ht="36.75" x14ac:dyDescent="0.3">
      <c r="A699" s="22">
        <v>695</v>
      </c>
      <c r="B699" s="23" t="s">
        <v>558</v>
      </c>
      <c r="C699" s="24" t="str">
        <f t="shared" ref="C699:C713" si="26">"142402"</f>
        <v>142402</v>
      </c>
      <c r="D699" s="24" t="str">
        <f>"14.142402/2024.00381/BNC"</f>
        <v>14.142402/2024.00381/BNC</v>
      </c>
      <c r="E699" s="24" t="str">
        <f>"142402240332"</f>
        <v>142402240332</v>
      </c>
      <c r="F699" s="24" t="str">
        <f t="shared" ref="F699:F713" si="27">"SILLA FIJA"</f>
        <v>SILLA FIJA</v>
      </c>
      <c r="G699" s="24" t="s">
        <v>14</v>
      </c>
      <c r="H699" s="24" t="s">
        <v>15</v>
      </c>
      <c r="I699" s="27">
        <v>1</v>
      </c>
      <c r="J699" s="42" t="s">
        <v>16</v>
      </c>
      <c r="K699" s="10">
        <v>25</v>
      </c>
    </row>
    <row r="700" spans="1:11" ht="36.75" x14ac:dyDescent="0.3">
      <c r="A700" s="22">
        <v>696</v>
      </c>
      <c r="B700" s="23" t="s">
        <v>558</v>
      </c>
      <c r="C700" s="24" t="str">
        <f t="shared" si="26"/>
        <v>142402</v>
      </c>
      <c r="D700" s="24" t="str">
        <f>"14.142402/2024.00382/BNC"</f>
        <v>14.142402/2024.00382/BNC</v>
      </c>
      <c r="E700" s="24" t="str">
        <f>"142402240333"</f>
        <v>142402240333</v>
      </c>
      <c r="F700" s="24" t="str">
        <f t="shared" si="27"/>
        <v>SILLA FIJA</v>
      </c>
      <c r="G700" s="24" t="s">
        <v>14</v>
      </c>
      <c r="H700" s="24" t="s">
        <v>15</v>
      </c>
      <c r="I700" s="27">
        <v>1</v>
      </c>
      <c r="J700" s="42" t="s">
        <v>16</v>
      </c>
      <c r="K700" s="10">
        <v>25</v>
      </c>
    </row>
    <row r="701" spans="1:11" ht="36.75" x14ac:dyDescent="0.3">
      <c r="A701" s="22">
        <v>697</v>
      </c>
      <c r="B701" s="23" t="s">
        <v>558</v>
      </c>
      <c r="C701" s="24" t="str">
        <f t="shared" si="26"/>
        <v>142402</v>
      </c>
      <c r="D701" s="24" t="str">
        <f>"14.142402/2024.00383/BNC"</f>
        <v>14.142402/2024.00383/BNC</v>
      </c>
      <c r="E701" s="24" t="str">
        <f>"142402240334"</f>
        <v>142402240334</v>
      </c>
      <c r="F701" s="24" t="str">
        <f t="shared" si="27"/>
        <v>SILLA FIJA</v>
      </c>
      <c r="G701" s="24" t="s">
        <v>14</v>
      </c>
      <c r="H701" s="24" t="s">
        <v>15</v>
      </c>
      <c r="I701" s="27">
        <v>1</v>
      </c>
      <c r="J701" s="42" t="s">
        <v>16</v>
      </c>
      <c r="K701" s="10">
        <v>25</v>
      </c>
    </row>
    <row r="702" spans="1:11" ht="36.75" x14ac:dyDescent="0.3">
      <c r="A702" s="22">
        <v>698</v>
      </c>
      <c r="B702" s="23" t="s">
        <v>558</v>
      </c>
      <c r="C702" s="24" t="str">
        <f t="shared" si="26"/>
        <v>142402</v>
      </c>
      <c r="D702" s="24" t="str">
        <f>"14.142402/2024.00384/BNC"</f>
        <v>14.142402/2024.00384/BNC</v>
      </c>
      <c r="E702" s="24" t="str">
        <f>"142402240335"</f>
        <v>142402240335</v>
      </c>
      <c r="F702" s="24" t="str">
        <f t="shared" si="27"/>
        <v>SILLA FIJA</v>
      </c>
      <c r="G702" s="24" t="s">
        <v>14</v>
      </c>
      <c r="H702" s="24" t="s">
        <v>15</v>
      </c>
      <c r="I702" s="27">
        <v>1</v>
      </c>
      <c r="J702" s="42" t="s">
        <v>16</v>
      </c>
      <c r="K702" s="10">
        <v>25</v>
      </c>
    </row>
    <row r="703" spans="1:11" ht="36.75" x14ac:dyDescent="0.3">
      <c r="A703" s="22">
        <v>699</v>
      </c>
      <c r="B703" s="23" t="s">
        <v>558</v>
      </c>
      <c r="C703" s="24" t="str">
        <f t="shared" si="26"/>
        <v>142402</v>
      </c>
      <c r="D703" s="24" t="str">
        <f>"14.142402/2024.00385/BNC"</f>
        <v>14.142402/2024.00385/BNC</v>
      </c>
      <c r="E703" s="24" t="str">
        <f>"142402240336"</f>
        <v>142402240336</v>
      </c>
      <c r="F703" s="24" t="str">
        <f t="shared" si="27"/>
        <v>SILLA FIJA</v>
      </c>
      <c r="G703" s="24" t="s">
        <v>14</v>
      </c>
      <c r="H703" s="24" t="s">
        <v>15</v>
      </c>
      <c r="I703" s="27">
        <v>1</v>
      </c>
      <c r="J703" s="42" t="s">
        <v>16</v>
      </c>
      <c r="K703" s="10">
        <v>25</v>
      </c>
    </row>
    <row r="704" spans="1:11" ht="36.75" x14ac:dyDescent="0.3">
      <c r="A704" s="22">
        <v>700</v>
      </c>
      <c r="B704" s="23" t="s">
        <v>558</v>
      </c>
      <c r="C704" s="24" t="str">
        <f t="shared" si="26"/>
        <v>142402</v>
      </c>
      <c r="D704" s="24" t="str">
        <f>"14.142402/2024.00386/BNC"</f>
        <v>14.142402/2024.00386/BNC</v>
      </c>
      <c r="E704" s="24" t="str">
        <f>"142402240337"</f>
        <v>142402240337</v>
      </c>
      <c r="F704" s="24" t="str">
        <f t="shared" si="27"/>
        <v>SILLA FIJA</v>
      </c>
      <c r="G704" s="24" t="s">
        <v>14</v>
      </c>
      <c r="H704" s="24" t="s">
        <v>15</v>
      </c>
      <c r="I704" s="27">
        <v>1</v>
      </c>
      <c r="J704" s="42" t="s">
        <v>16</v>
      </c>
      <c r="K704" s="10">
        <v>25</v>
      </c>
    </row>
    <row r="705" spans="1:11" ht="36.75" x14ac:dyDescent="0.3">
      <c r="A705" s="22">
        <v>701</v>
      </c>
      <c r="B705" s="23" t="s">
        <v>558</v>
      </c>
      <c r="C705" s="24" t="str">
        <f t="shared" si="26"/>
        <v>142402</v>
      </c>
      <c r="D705" s="24" t="str">
        <f>"14.142402/2024.00387/BNC"</f>
        <v>14.142402/2024.00387/BNC</v>
      </c>
      <c r="E705" s="24" t="str">
        <f>"142402240338"</f>
        <v>142402240338</v>
      </c>
      <c r="F705" s="24" t="str">
        <f t="shared" si="27"/>
        <v>SILLA FIJA</v>
      </c>
      <c r="G705" s="24" t="s">
        <v>14</v>
      </c>
      <c r="H705" s="24" t="s">
        <v>15</v>
      </c>
      <c r="I705" s="27">
        <v>1</v>
      </c>
      <c r="J705" s="42" t="s">
        <v>16</v>
      </c>
      <c r="K705" s="10">
        <v>25</v>
      </c>
    </row>
    <row r="706" spans="1:11" ht="36.75" x14ac:dyDescent="0.3">
      <c r="A706" s="22">
        <v>702</v>
      </c>
      <c r="B706" s="23" t="s">
        <v>558</v>
      </c>
      <c r="C706" s="24" t="str">
        <f t="shared" si="26"/>
        <v>142402</v>
      </c>
      <c r="D706" s="24" t="str">
        <f>"14.142402/2024.00388/BNC"</f>
        <v>14.142402/2024.00388/BNC</v>
      </c>
      <c r="E706" s="24" t="str">
        <f>"142402240339"</f>
        <v>142402240339</v>
      </c>
      <c r="F706" s="24" t="str">
        <f t="shared" si="27"/>
        <v>SILLA FIJA</v>
      </c>
      <c r="G706" s="24" t="s">
        <v>14</v>
      </c>
      <c r="H706" s="24" t="s">
        <v>15</v>
      </c>
      <c r="I706" s="27">
        <v>1</v>
      </c>
      <c r="J706" s="42" t="s">
        <v>16</v>
      </c>
      <c r="K706" s="10">
        <v>25</v>
      </c>
    </row>
    <row r="707" spans="1:11" ht="36.75" x14ac:dyDescent="0.3">
      <c r="A707" s="22">
        <v>703</v>
      </c>
      <c r="B707" s="23" t="s">
        <v>558</v>
      </c>
      <c r="C707" s="24" t="str">
        <f t="shared" si="26"/>
        <v>142402</v>
      </c>
      <c r="D707" s="24" t="str">
        <f>"14.142402/2024.00389/BNC"</f>
        <v>14.142402/2024.00389/BNC</v>
      </c>
      <c r="E707" s="24" t="str">
        <f>"142402240340"</f>
        <v>142402240340</v>
      </c>
      <c r="F707" s="24" t="str">
        <f t="shared" si="27"/>
        <v>SILLA FIJA</v>
      </c>
      <c r="G707" s="24" t="s">
        <v>14</v>
      </c>
      <c r="H707" s="24" t="s">
        <v>15</v>
      </c>
      <c r="I707" s="27">
        <v>1</v>
      </c>
      <c r="J707" s="42" t="s">
        <v>16</v>
      </c>
      <c r="K707" s="10">
        <v>25</v>
      </c>
    </row>
    <row r="708" spans="1:11" ht="36.75" x14ac:dyDescent="0.3">
      <c r="A708" s="22">
        <v>704</v>
      </c>
      <c r="B708" s="23" t="s">
        <v>558</v>
      </c>
      <c r="C708" s="24" t="str">
        <f t="shared" si="26"/>
        <v>142402</v>
      </c>
      <c r="D708" s="24" t="str">
        <f>"14.142402/2024.00390/BNC"</f>
        <v>14.142402/2024.00390/BNC</v>
      </c>
      <c r="E708" s="24" t="str">
        <f>"142402240341"</f>
        <v>142402240341</v>
      </c>
      <c r="F708" s="24" t="str">
        <f t="shared" si="27"/>
        <v>SILLA FIJA</v>
      </c>
      <c r="G708" s="24" t="s">
        <v>14</v>
      </c>
      <c r="H708" s="24" t="s">
        <v>15</v>
      </c>
      <c r="I708" s="27">
        <v>1</v>
      </c>
      <c r="J708" s="42" t="s">
        <v>16</v>
      </c>
      <c r="K708" s="10">
        <v>25</v>
      </c>
    </row>
    <row r="709" spans="1:11" ht="36.75" x14ac:dyDescent="0.3">
      <c r="A709" s="22">
        <v>705</v>
      </c>
      <c r="B709" s="23" t="s">
        <v>558</v>
      </c>
      <c r="C709" s="24" t="str">
        <f t="shared" si="26"/>
        <v>142402</v>
      </c>
      <c r="D709" s="24" t="str">
        <f>"14.142402/2024.00391/BNC"</f>
        <v>14.142402/2024.00391/BNC</v>
      </c>
      <c r="E709" s="24" t="str">
        <f>"142402240342"</f>
        <v>142402240342</v>
      </c>
      <c r="F709" s="24" t="str">
        <f t="shared" si="27"/>
        <v>SILLA FIJA</v>
      </c>
      <c r="G709" s="24" t="s">
        <v>14</v>
      </c>
      <c r="H709" s="24" t="s">
        <v>15</v>
      </c>
      <c r="I709" s="27">
        <v>1</v>
      </c>
      <c r="J709" s="42" t="s">
        <v>16</v>
      </c>
      <c r="K709" s="10">
        <v>25</v>
      </c>
    </row>
    <row r="710" spans="1:11" ht="36.75" x14ac:dyDescent="0.3">
      <c r="A710" s="22">
        <v>706</v>
      </c>
      <c r="B710" s="23" t="s">
        <v>558</v>
      </c>
      <c r="C710" s="24" t="str">
        <f t="shared" si="26"/>
        <v>142402</v>
      </c>
      <c r="D710" s="24" t="str">
        <f>"14.142402/2024.00392/BNC"</f>
        <v>14.142402/2024.00392/BNC</v>
      </c>
      <c r="E710" s="24" t="str">
        <f>"142402240343"</f>
        <v>142402240343</v>
      </c>
      <c r="F710" s="24" t="str">
        <f t="shared" si="27"/>
        <v>SILLA FIJA</v>
      </c>
      <c r="G710" s="24" t="s">
        <v>14</v>
      </c>
      <c r="H710" s="24" t="s">
        <v>15</v>
      </c>
      <c r="I710" s="27">
        <v>1</v>
      </c>
      <c r="J710" s="42" t="s">
        <v>16</v>
      </c>
      <c r="K710" s="10">
        <v>25</v>
      </c>
    </row>
    <row r="711" spans="1:11" ht="36.75" x14ac:dyDescent="0.3">
      <c r="A711" s="22">
        <v>707</v>
      </c>
      <c r="B711" s="23" t="s">
        <v>558</v>
      </c>
      <c r="C711" s="24" t="str">
        <f t="shared" si="26"/>
        <v>142402</v>
      </c>
      <c r="D711" s="24" t="str">
        <f>"14.142402/2024.00393/BNC"</f>
        <v>14.142402/2024.00393/BNC</v>
      </c>
      <c r="E711" s="24" t="str">
        <f>"142402240344"</f>
        <v>142402240344</v>
      </c>
      <c r="F711" s="24" t="str">
        <f t="shared" si="27"/>
        <v>SILLA FIJA</v>
      </c>
      <c r="G711" s="24" t="s">
        <v>14</v>
      </c>
      <c r="H711" s="24" t="s">
        <v>15</v>
      </c>
      <c r="I711" s="27">
        <v>1</v>
      </c>
      <c r="J711" s="42" t="s">
        <v>16</v>
      </c>
      <c r="K711" s="10">
        <v>25</v>
      </c>
    </row>
    <row r="712" spans="1:11" ht="36.75" x14ac:dyDescent="0.3">
      <c r="A712" s="22">
        <v>708</v>
      </c>
      <c r="B712" s="23" t="s">
        <v>558</v>
      </c>
      <c r="C712" s="24" t="str">
        <f t="shared" si="26"/>
        <v>142402</v>
      </c>
      <c r="D712" s="24" t="str">
        <f>"14.142402/2024.00394/BNC"</f>
        <v>14.142402/2024.00394/BNC</v>
      </c>
      <c r="E712" s="24" t="str">
        <f>"142402240345"</f>
        <v>142402240345</v>
      </c>
      <c r="F712" s="24" t="str">
        <f t="shared" si="27"/>
        <v>SILLA FIJA</v>
      </c>
      <c r="G712" s="24" t="s">
        <v>14</v>
      </c>
      <c r="H712" s="24" t="s">
        <v>15</v>
      </c>
      <c r="I712" s="27">
        <v>1</v>
      </c>
      <c r="J712" s="42" t="s">
        <v>16</v>
      </c>
      <c r="K712" s="10">
        <v>25</v>
      </c>
    </row>
    <row r="713" spans="1:11" ht="36.75" x14ac:dyDescent="0.3">
      <c r="A713" s="22">
        <v>709</v>
      </c>
      <c r="B713" s="23" t="s">
        <v>558</v>
      </c>
      <c r="C713" s="24" t="str">
        <f t="shared" si="26"/>
        <v>142402</v>
      </c>
      <c r="D713" s="24" t="str">
        <f>"14.142402/2024.00395/BNC"</f>
        <v>14.142402/2024.00395/BNC</v>
      </c>
      <c r="E713" s="24" t="str">
        <f>"142402240346"</f>
        <v>142402240346</v>
      </c>
      <c r="F713" s="24" t="str">
        <f t="shared" si="27"/>
        <v>SILLA FIJA</v>
      </c>
      <c r="G713" s="24" t="s">
        <v>14</v>
      </c>
      <c r="H713" s="24" t="s">
        <v>15</v>
      </c>
      <c r="I713" s="27">
        <v>1</v>
      </c>
      <c r="J713" s="42" t="s">
        <v>16</v>
      </c>
      <c r="K713" s="10">
        <v>25</v>
      </c>
    </row>
    <row r="714" spans="1:11" ht="36.75" x14ac:dyDescent="0.3">
      <c r="A714" s="22">
        <v>710</v>
      </c>
      <c r="B714" s="23" t="s">
        <v>559</v>
      </c>
      <c r="C714" s="24" t="str">
        <f t="shared" ref="C714:C738" si="28">"142208"</f>
        <v>142208</v>
      </c>
      <c r="D714" s="24" t="str">
        <f>"14.142208/2024.00001/BNC"</f>
        <v>14.142208/2024.00001/BNC</v>
      </c>
      <c r="E714" s="24" t="str">
        <f>"142208240001"</f>
        <v>142208240001</v>
      </c>
      <c r="F714" s="24" t="str">
        <f t="shared" ref="F714:F721" si="29">"SILLA VERDE"</f>
        <v>SILLA VERDE</v>
      </c>
      <c r="G714" s="24" t="s">
        <v>14</v>
      </c>
      <c r="H714" s="24" t="s">
        <v>15</v>
      </c>
      <c r="I714" s="27">
        <v>1</v>
      </c>
      <c r="J714" s="42" t="s">
        <v>16</v>
      </c>
      <c r="K714" s="10">
        <v>25</v>
      </c>
    </row>
    <row r="715" spans="1:11" ht="36.75" x14ac:dyDescent="0.3">
      <c r="A715" s="22">
        <v>711</v>
      </c>
      <c r="B715" s="23" t="s">
        <v>559</v>
      </c>
      <c r="C715" s="24" t="str">
        <f t="shared" si="28"/>
        <v>142208</v>
      </c>
      <c r="D715" s="24" t="str">
        <f>"14.142208/2024.00002/BNC"</f>
        <v>14.142208/2024.00002/BNC</v>
      </c>
      <c r="E715" s="24" t="str">
        <f>"142208240002"</f>
        <v>142208240002</v>
      </c>
      <c r="F715" s="24" t="str">
        <f t="shared" si="29"/>
        <v>SILLA VERDE</v>
      </c>
      <c r="G715" s="24" t="s">
        <v>14</v>
      </c>
      <c r="H715" s="24" t="s">
        <v>15</v>
      </c>
      <c r="I715" s="27">
        <v>1</v>
      </c>
      <c r="J715" s="42" t="s">
        <v>16</v>
      </c>
      <c r="K715" s="10">
        <v>25</v>
      </c>
    </row>
    <row r="716" spans="1:11" ht="36.75" x14ac:dyDescent="0.3">
      <c r="A716" s="22">
        <v>712</v>
      </c>
      <c r="B716" s="23" t="s">
        <v>559</v>
      </c>
      <c r="C716" s="24" t="str">
        <f t="shared" si="28"/>
        <v>142208</v>
      </c>
      <c r="D716" s="24" t="str">
        <f>"14.142208/2024.00003/BNC"</f>
        <v>14.142208/2024.00003/BNC</v>
      </c>
      <c r="E716" s="24" t="str">
        <f>"142208240003"</f>
        <v>142208240003</v>
      </c>
      <c r="F716" s="24" t="str">
        <f t="shared" si="29"/>
        <v>SILLA VERDE</v>
      </c>
      <c r="G716" s="24" t="s">
        <v>14</v>
      </c>
      <c r="H716" s="24" t="s">
        <v>15</v>
      </c>
      <c r="I716" s="27">
        <v>1</v>
      </c>
      <c r="J716" s="42" t="s">
        <v>16</v>
      </c>
      <c r="K716" s="10">
        <v>25</v>
      </c>
    </row>
    <row r="717" spans="1:11" ht="36.75" x14ac:dyDescent="0.3">
      <c r="A717" s="22">
        <v>713</v>
      </c>
      <c r="B717" s="23" t="s">
        <v>559</v>
      </c>
      <c r="C717" s="24" t="str">
        <f t="shared" si="28"/>
        <v>142208</v>
      </c>
      <c r="D717" s="24" t="str">
        <f>"14.142208/2024.00004/BNC"</f>
        <v>14.142208/2024.00004/BNC</v>
      </c>
      <c r="E717" s="24" t="str">
        <f>"142208240004"</f>
        <v>142208240004</v>
      </c>
      <c r="F717" s="24" t="str">
        <f t="shared" si="29"/>
        <v>SILLA VERDE</v>
      </c>
      <c r="G717" s="24" t="s">
        <v>14</v>
      </c>
      <c r="H717" s="24" t="s">
        <v>15</v>
      </c>
      <c r="I717" s="27">
        <v>1</v>
      </c>
      <c r="J717" s="42" t="s">
        <v>16</v>
      </c>
      <c r="K717" s="10">
        <v>25</v>
      </c>
    </row>
    <row r="718" spans="1:11" ht="36.75" x14ac:dyDescent="0.3">
      <c r="A718" s="22">
        <v>714</v>
      </c>
      <c r="B718" s="23" t="s">
        <v>559</v>
      </c>
      <c r="C718" s="24" t="str">
        <f t="shared" si="28"/>
        <v>142208</v>
      </c>
      <c r="D718" s="24" t="str">
        <f>"14.142208/2024.00005/BNC"</f>
        <v>14.142208/2024.00005/BNC</v>
      </c>
      <c r="E718" s="24" t="str">
        <f>"142208240005"</f>
        <v>142208240005</v>
      </c>
      <c r="F718" s="24" t="str">
        <f t="shared" si="29"/>
        <v>SILLA VERDE</v>
      </c>
      <c r="G718" s="24" t="s">
        <v>14</v>
      </c>
      <c r="H718" s="24" t="s">
        <v>15</v>
      </c>
      <c r="I718" s="27">
        <v>1</v>
      </c>
      <c r="J718" s="42" t="s">
        <v>16</v>
      </c>
      <c r="K718" s="10">
        <v>25</v>
      </c>
    </row>
    <row r="719" spans="1:11" ht="36.75" x14ac:dyDescent="0.3">
      <c r="A719" s="22">
        <v>715</v>
      </c>
      <c r="B719" s="23" t="s">
        <v>559</v>
      </c>
      <c r="C719" s="24" t="str">
        <f t="shared" si="28"/>
        <v>142208</v>
      </c>
      <c r="D719" s="24" t="str">
        <f>"14.142208/2024.00006/BNC"</f>
        <v>14.142208/2024.00006/BNC</v>
      </c>
      <c r="E719" s="24" t="str">
        <f>"142208240006"</f>
        <v>142208240006</v>
      </c>
      <c r="F719" s="24" t="str">
        <f t="shared" si="29"/>
        <v>SILLA VERDE</v>
      </c>
      <c r="G719" s="24" t="s">
        <v>14</v>
      </c>
      <c r="H719" s="24" t="s">
        <v>15</v>
      </c>
      <c r="I719" s="27">
        <v>1</v>
      </c>
      <c r="J719" s="42" t="s">
        <v>16</v>
      </c>
      <c r="K719" s="10">
        <v>25</v>
      </c>
    </row>
    <row r="720" spans="1:11" ht="36.75" x14ac:dyDescent="0.3">
      <c r="A720" s="22">
        <v>716</v>
      </c>
      <c r="B720" s="23" t="s">
        <v>559</v>
      </c>
      <c r="C720" s="24" t="str">
        <f t="shared" si="28"/>
        <v>142208</v>
      </c>
      <c r="D720" s="24" t="str">
        <f>"14.142208/2024.00007/BNC"</f>
        <v>14.142208/2024.00007/BNC</v>
      </c>
      <c r="E720" s="24" t="str">
        <f>"142208240007"</f>
        <v>142208240007</v>
      </c>
      <c r="F720" s="24" t="str">
        <f t="shared" si="29"/>
        <v>SILLA VERDE</v>
      </c>
      <c r="G720" s="24" t="s">
        <v>14</v>
      </c>
      <c r="H720" s="24" t="s">
        <v>15</v>
      </c>
      <c r="I720" s="27">
        <v>1</v>
      </c>
      <c r="J720" s="42" t="s">
        <v>16</v>
      </c>
      <c r="K720" s="10">
        <v>25</v>
      </c>
    </row>
    <row r="721" spans="1:11" ht="36.75" x14ac:dyDescent="0.3">
      <c r="A721" s="22">
        <v>717</v>
      </c>
      <c r="B721" s="23" t="s">
        <v>559</v>
      </c>
      <c r="C721" s="24" t="str">
        <f t="shared" si="28"/>
        <v>142208</v>
      </c>
      <c r="D721" s="24" t="str">
        <f>"14.142208/2024.00008/BNC"</f>
        <v>14.142208/2024.00008/BNC</v>
      </c>
      <c r="E721" s="24" t="str">
        <f>"142208240008"</f>
        <v>142208240008</v>
      </c>
      <c r="F721" s="24" t="str">
        <f t="shared" si="29"/>
        <v>SILLA VERDE</v>
      </c>
      <c r="G721" s="24" t="s">
        <v>14</v>
      </c>
      <c r="H721" s="24" t="s">
        <v>15</v>
      </c>
      <c r="I721" s="27">
        <v>1</v>
      </c>
      <c r="J721" s="42" t="s">
        <v>16</v>
      </c>
      <c r="K721" s="10">
        <v>25</v>
      </c>
    </row>
    <row r="722" spans="1:11" ht="36.75" x14ac:dyDescent="0.3">
      <c r="A722" s="22">
        <v>718</v>
      </c>
      <c r="B722" s="23" t="s">
        <v>559</v>
      </c>
      <c r="C722" s="24" t="str">
        <f t="shared" si="28"/>
        <v>142208</v>
      </c>
      <c r="D722" s="24" t="str">
        <f>"14.142208/2024.00009/BNC"</f>
        <v>14.142208/2024.00009/BNC</v>
      </c>
      <c r="E722" s="24" t="str">
        <f>"142208240009"</f>
        <v>142208240009</v>
      </c>
      <c r="F722" s="24" t="str">
        <f>"SILLA BLANCA"</f>
        <v>SILLA BLANCA</v>
      </c>
      <c r="G722" s="24" t="s">
        <v>14</v>
      </c>
      <c r="H722" s="24" t="s">
        <v>15</v>
      </c>
      <c r="I722" s="27">
        <v>1</v>
      </c>
      <c r="J722" s="42" t="s">
        <v>16</v>
      </c>
      <c r="K722" s="10">
        <v>25</v>
      </c>
    </row>
    <row r="723" spans="1:11" ht="36.75" x14ac:dyDescent="0.3">
      <c r="A723" s="22">
        <v>719</v>
      </c>
      <c r="B723" s="23" t="s">
        <v>559</v>
      </c>
      <c r="C723" s="24" t="str">
        <f t="shared" si="28"/>
        <v>142208</v>
      </c>
      <c r="D723" s="24" t="str">
        <f>"14.142208/2024.00010/BNC"</f>
        <v>14.142208/2024.00010/BNC</v>
      </c>
      <c r="E723" s="24" t="str">
        <f>"142208240010"</f>
        <v>142208240010</v>
      </c>
      <c r="F723" s="24" t="str">
        <f>"SILLA BLANCA"</f>
        <v>SILLA BLANCA</v>
      </c>
      <c r="G723" s="24" t="s">
        <v>14</v>
      </c>
      <c r="H723" s="24" t="s">
        <v>15</v>
      </c>
      <c r="I723" s="27">
        <v>1</v>
      </c>
      <c r="J723" s="42" t="s">
        <v>16</v>
      </c>
      <c r="K723" s="10">
        <v>25</v>
      </c>
    </row>
    <row r="724" spans="1:11" ht="36.75" x14ac:dyDescent="0.3">
      <c r="A724" s="22">
        <v>720</v>
      </c>
      <c r="B724" s="23" t="s">
        <v>559</v>
      </c>
      <c r="C724" s="24" t="str">
        <f t="shared" si="28"/>
        <v>142208</v>
      </c>
      <c r="D724" s="24" t="str">
        <f>"14.142208/2024.00011/BNC"</f>
        <v>14.142208/2024.00011/BNC</v>
      </c>
      <c r="E724" s="24" t="str">
        <f>"142208240011"</f>
        <v>142208240011</v>
      </c>
      <c r="F724" s="24" t="str">
        <f>"SILLA BLANCA"</f>
        <v>SILLA BLANCA</v>
      </c>
      <c r="G724" s="24" t="s">
        <v>14</v>
      </c>
      <c r="H724" s="24" t="s">
        <v>15</v>
      </c>
      <c r="I724" s="27">
        <v>1</v>
      </c>
      <c r="J724" s="42" t="s">
        <v>16</v>
      </c>
      <c r="K724" s="10">
        <v>25</v>
      </c>
    </row>
    <row r="725" spans="1:11" ht="36.75" x14ac:dyDescent="0.3">
      <c r="A725" s="22">
        <v>721</v>
      </c>
      <c r="B725" s="23" t="s">
        <v>559</v>
      </c>
      <c r="C725" s="24" t="str">
        <f t="shared" si="28"/>
        <v>142208</v>
      </c>
      <c r="D725" s="24" t="str">
        <f>"14.142208/2024.00012/BNC"</f>
        <v>14.142208/2024.00012/BNC</v>
      </c>
      <c r="E725" s="24" t="str">
        <f>"142208240012"</f>
        <v>142208240012</v>
      </c>
      <c r="F725" s="24" t="str">
        <f>"SILLA CAFE"</f>
        <v>SILLA CAFE</v>
      </c>
      <c r="G725" s="24" t="s">
        <v>14</v>
      </c>
      <c r="H725" s="24" t="s">
        <v>15</v>
      </c>
      <c r="I725" s="27">
        <v>1</v>
      </c>
      <c r="J725" s="42" t="s">
        <v>16</v>
      </c>
      <c r="K725" s="10">
        <v>25</v>
      </c>
    </row>
    <row r="726" spans="1:11" ht="36.75" x14ac:dyDescent="0.3">
      <c r="A726" s="22">
        <v>722</v>
      </c>
      <c r="B726" s="23" t="s">
        <v>559</v>
      </c>
      <c r="C726" s="24" t="str">
        <f t="shared" si="28"/>
        <v>142208</v>
      </c>
      <c r="D726" s="24" t="str">
        <f>"14.142208/2024.00013/BNC"</f>
        <v>14.142208/2024.00013/BNC</v>
      </c>
      <c r="E726" s="24" t="str">
        <f>"142208240013"</f>
        <v>142208240013</v>
      </c>
      <c r="F726" s="24" t="str">
        <f>"SILLA CAFE"</f>
        <v>SILLA CAFE</v>
      </c>
      <c r="G726" s="24" t="s">
        <v>14</v>
      </c>
      <c r="H726" s="24" t="s">
        <v>15</v>
      </c>
      <c r="I726" s="27">
        <v>1</v>
      </c>
      <c r="J726" s="42" t="s">
        <v>16</v>
      </c>
      <c r="K726" s="10">
        <v>25</v>
      </c>
    </row>
    <row r="727" spans="1:11" ht="36.75" x14ac:dyDescent="0.3">
      <c r="A727" s="22">
        <v>723</v>
      </c>
      <c r="B727" s="23" t="s">
        <v>559</v>
      </c>
      <c r="C727" s="24" t="str">
        <f t="shared" si="28"/>
        <v>142208</v>
      </c>
      <c r="D727" s="24" t="str">
        <f>"14.142208/2024.00014/BNC"</f>
        <v>14.142208/2024.00014/BNC</v>
      </c>
      <c r="E727" s="24" t="str">
        <f>"142208240014"</f>
        <v>142208240014</v>
      </c>
      <c r="F727" s="24" t="str">
        <f>"SILLA CAFE"</f>
        <v>SILLA CAFE</v>
      </c>
      <c r="G727" s="24" t="s">
        <v>14</v>
      </c>
      <c r="H727" s="24" t="s">
        <v>15</v>
      </c>
      <c r="I727" s="27">
        <v>1</v>
      </c>
      <c r="J727" s="42" t="s">
        <v>16</v>
      </c>
      <c r="K727" s="10">
        <v>25</v>
      </c>
    </row>
    <row r="728" spans="1:11" ht="36.75" x14ac:dyDescent="0.3">
      <c r="A728" s="22">
        <v>724</v>
      </c>
      <c r="B728" s="23" t="s">
        <v>559</v>
      </c>
      <c r="C728" s="24" t="str">
        <f t="shared" si="28"/>
        <v>142208</v>
      </c>
      <c r="D728" s="24" t="str">
        <f>"14.142208/2024.00015/BNC"</f>
        <v>14.142208/2024.00015/BNC</v>
      </c>
      <c r="E728" s="24" t="str">
        <f>"142208240015"</f>
        <v>142208240015</v>
      </c>
      <c r="F728" s="24" t="str">
        <f>"SILLA NEGRA"</f>
        <v>SILLA NEGRA</v>
      </c>
      <c r="G728" s="24" t="s">
        <v>14</v>
      </c>
      <c r="H728" s="24" t="s">
        <v>15</v>
      </c>
      <c r="I728" s="27">
        <v>1</v>
      </c>
      <c r="J728" s="42" t="s">
        <v>16</v>
      </c>
      <c r="K728" s="10">
        <v>25</v>
      </c>
    </row>
    <row r="729" spans="1:11" ht="36.75" x14ac:dyDescent="0.3">
      <c r="A729" s="22">
        <v>725</v>
      </c>
      <c r="B729" s="23" t="s">
        <v>559</v>
      </c>
      <c r="C729" s="24" t="str">
        <f t="shared" si="28"/>
        <v>142208</v>
      </c>
      <c r="D729" s="24" t="str">
        <f>"14.142208/2024.00016/BNC"</f>
        <v>14.142208/2024.00016/BNC</v>
      </c>
      <c r="E729" s="24" t="str">
        <f>"142208240016"</f>
        <v>142208240016</v>
      </c>
      <c r="F729" s="24" t="str">
        <f>"SILLA NARANJA"</f>
        <v>SILLA NARANJA</v>
      </c>
      <c r="G729" s="24" t="s">
        <v>14</v>
      </c>
      <c r="H729" s="24" t="s">
        <v>15</v>
      </c>
      <c r="I729" s="27">
        <v>1</v>
      </c>
      <c r="J729" s="42" t="s">
        <v>16</v>
      </c>
      <c r="K729" s="10">
        <v>25</v>
      </c>
    </row>
    <row r="730" spans="1:11" ht="36.75" x14ac:dyDescent="0.3">
      <c r="A730" s="22">
        <v>726</v>
      </c>
      <c r="B730" s="23" t="s">
        <v>559</v>
      </c>
      <c r="C730" s="24" t="str">
        <f t="shared" si="28"/>
        <v>142208</v>
      </c>
      <c r="D730" s="24" t="str">
        <f>"14.142208/2024.00017/BNC"</f>
        <v>14.142208/2024.00017/BNC</v>
      </c>
      <c r="E730" s="24" t="str">
        <f>"142208240017"</f>
        <v>142208240017</v>
      </c>
      <c r="F730" s="24" t="str">
        <f>"SILLA NARANJA"</f>
        <v>SILLA NARANJA</v>
      </c>
      <c r="G730" s="24" t="s">
        <v>14</v>
      </c>
      <c r="H730" s="24" t="s">
        <v>15</v>
      </c>
      <c r="I730" s="27">
        <v>1</v>
      </c>
      <c r="J730" s="42" t="s">
        <v>16</v>
      </c>
      <c r="K730" s="10">
        <v>25</v>
      </c>
    </row>
    <row r="731" spans="1:11" ht="36.75" x14ac:dyDescent="0.3">
      <c r="A731" s="22">
        <v>727</v>
      </c>
      <c r="B731" s="23" t="s">
        <v>559</v>
      </c>
      <c r="C731" s="24" t="str">
        <f t="shared" si="28"/>
        <v>142208</v>
      </c>
      <c r="D731" s="24" t="str">
        <f>"14.142208/2024.00018/BNC"</f>
        <v>14.142208/2024.00018/BNC</v>
      </c>
      <c r="E731" s="24" t="str">
        <f>"142208240018"</f>
        <v>142208240018</v>
      </c>
      <c r="F731" s="24" t="str">
        <f>"SILLA NARANJA"</f>
        <v>SILLA NARANJA</v>
      </c>
      <c r="G731" s="24" t="s">
        <v>14</v>
      </c>
      <c r="H731" s="24" t="s">
        <v>15</v>
      </c>
      <c r="I731" s="27">
        <v>1</v>
      </c>
      <c r="J731" s="42" t="s">
        <v>16</v>
      </c>
      <c r="K731" s="10">
        <v>25</v>
      </c>
    </row>
    <row r="732" spans="1:11" ht="36.75" x14ac:dyDescent="0.3">
      <c r="A732" s="22">
        <v>728</v>
      </c>
      <c r="B732" s="23" t="s">
        <v>559</v>
      </c>
      <c r="C732" s="24" t="str">
        <f t="shared" si="28"/>
        <v>142208</v>
      </c>
      <c r="D732" s="24" t="str">
        <f>"14.142208/2024.00019/BNC"</f>
        <v>14.142208/2024.00019/BNC</v>
      </c>
      <c r="E732" s="24" t="str">
        <f>"142208240019"</f>
        <v>142208240019</v>
      </c>
      <c r="F732" s="24" t="str">
        <f>"SILLA NARANJA"</f>
        <v>SILLA NARANJA</v>
      </c>
      <c r="G732" s="24" t="s">
        <v>14</v>
      </c>
      <c r="H732" s="24" t="s">
        <v>15</v>
      </c>
      <c r="I732" s="27">
        <v>1</v>
      </c>
      <c r="J732" s="42" t="s">
        <v>16</v>
      </c>
      <c r="K732" s="10">
        <v>25</v>
      </c>
    </row>
    <row r="733" spans="1:11" ht="36.75" x14ac:dyDescent="0.3">
      <c r="A733" s="22">
        <v>729</v>
      </c>
      <c r="B733" s="23" t="s">
        <v>559</v>
      </c>
      <c r="C733" s="24" t="str">
        <f t="shared" si="28"/>
        <v>142208</v>
      </c>
      <c r="D733" s="24" t="str">
        <f>"14.142208/2024.00020/BNC"</f>
        <v>14.142208/2024.00020/BNC</v>
      </c>
      <c r="E733" s="24" t="str">
        <f>"142208240020"</f>
        <v>142208240020</v>
      </c>
      <c r="F733" s="24" t="str">
        <f>"CAMA"</f>
        <v>CAMA</v>
      </c>
      <c r="G733" s="24" t="s">
        <v>14</v>
      </c>
      <c r="H733" s="24" t="s">
        <v>15</v>
      </c>
      <c r="I733" s="27">
        <v>1</v>
      </c>
      <c r="J733" s="42" t="s">
        <v>16</v>
      </c>
      <c r="K733" s="10">
        <v>200</v>
      </c>
    </row>
    <row r="734" spans="1:11" ht="36.75" x14ac:dyDescent="0.3">
      <c r="A734" s="22">
        <v>730</v>
      </c>
      <c r="B734" s="23" t="s">
        <v>559</v>
      </c>
      <c r="C734" s="24" t="str">
        <f t="shared" si="28"/>
        <v>142208</v>
      </c>
      <c r="D734" s="24" t="str">
        <f>"14.142208/2024.00021/BNC"</f>
        <v>14.142208/2024.00021/BNC</v>
      </c>
      <c r="E734" s="24" t="str">
        <f>"142208240021"</f>
        <v>142208240021</v>
      </c>
      <c r="F734" s="24" t="str">
        <f>"CAMA"</f>
        <v>CAMA</v>
      </c>
      <c r="G734" s="24" t="s">
        <v>14</v>
      </c>
      <c r="H734" s="24" t="s">
        <v>15</v>
      </c>
      <c r="I734" s="27">
        <v>1</v>
      </c>
      <c r="J734" s="42" t="s">
        <v>16</v>
      </c>
      <c r="K734" s="10">
        <v>200</v>
      </c>
    </row>
    <row r="735" spans="1:11" ht="36.75" x14ac:dyDescent="0.3">
      <c r="A735" s="22">
        <v>731</v>
      </c>
      <c r="B735" s="23" t="s">
        <v>559</v>
      </c>
      <c r="C735" s="24" t="str">
        <f t="shared" si="28"/>
        <v>142208</v>
      </c>
      <c r="D735" s="24" t="str">
        <f>"14.142208/2024.00022/BNC"</f>
        <v>14.142208/2024.00022/BNC</v>
      </c>
      <c r="E735" s="24" t="str">
        <f>"142208240022"</f>
        <v>142208240022</v>
      </c>
      <c r="F735" s="24" t="str">
        <f>"CAMA"</f>
        <v>CAMA</v>
      </c>
      <c r="G735" s="24" t="s">
        <v>14</v>
      </c>
      <c r="H735" s="24" t="s">
        <v>15</v>
      </c>
      <c r="I735" s="27">
        <v>1</v>
      </c>
      <c r="J735" s="42" t="s">
        <v>16</v>
      </c>
      <c r="K735" s="10">
        <v>200</v>
      </c>
    </row>
    <row r="736" spans="1:11" ht="36.75" x14ac:dyDescent="0.3">
      <c r="A736" s="22">
        <v>732</v>
      </c>
      <c r="B736" s="23" t="s">
        <v>559</v>
      </c>
      <c r="C736" s="24" t="str">
        <f t="shared" si="28"/>
        <v>142208</v>
      </c>
      <c r="D736" s="24" t="str">
        <f>"14.142208/2024.00023/BNC"</f>
        <v>14.142208/2024.00023/BNC</v>
      </c>
      <c r="E736" s="24" t="str">
        <f>"142208240023"</f>
        <v>142208240023</v>
      </c>
      <c r="F736" s="24" t="str">
        <f>"SILLON DE TRES PLAZAS COLOR NARANJA"</f>
        <v>SILLON DE TRES PLAZAS COLOR NARANJA</v>
      </c>
      <c r="G736" s="24" t="s">
        <v>14</v>
      </c>
      <c r="H736" s="24" t="s">
        <v>15</v>
      </c>
      <c r="I736" s="27">
        <v>1</v>
      </c>
      <c r="J736" s="42" t="s">
        <v>16</v>
      </c>
      <c r="K736" s="10">
        <v>30</v>
      </c>
    </row>
    <row r="737" spans="1:11" ht="36.75" x14ac:dyDescent="0.3">
      <c r="A737" s="22">
        <v>733</v>
      </c>
      <c r="B737" s="23" t="s">
        <v>559</v>
      </c>
      <c r="C737" s="24" t="str">
        <f t="shared" si="28"/>
        <v>142208</v>
      </c>
      <c r="D737" s="24" t="str">
        <f>"14.142208/2024.00024/BNC"</f>
        <v>14.142208/2024.00024/BNC</v>
      </c>
      <c r="E737" s="24" t="str">
        <f>"142208240024"</f>
        <v>142208240024</v>
      </c>
      <c r="F737" s="24" t="str">
        <f>"TARJA"</f>
        <v>TARJA</v>
      </c>
      <c r="G737" s="24" t="s">
        <v>14</v>
      </c>
      <c r="H737" s="24" t="s">
        <v>15</v>
      </c>
      <c r="I737" s="27">
        <v>1</v>
      </c>
      <c r="J737" s="42" t="s">
        <v>16</v>
      </c>
      <c r="K737" s="10">
        <v>35</v>
      </c>
    </row>
    <row r="738" spans="1:11" ht="36.75" x14ac:dyDescent="0.3">
      <c r="A738" s="29">
        <v>734</v>
      </c>
      <c r="B738" s="43" t="s">
        <v>559</v>
      </c>
      <c r="C738" s="31" t="str">
        <f t="shared" si="28"/>
        <v>142208</v>
      </c>
      <c r="D738" s="31" t="str">
        <f>"14.142208/2024.00025/BNC"</f>
        <v>14.142208/2024.00025/BNC</v>
      </c>
      <c r="E738" s="31" t="str">
        <f>"142208240025"</f>
        <v>142208240025</v>
      </c>
      <c r="F738" s="31" t="str">
        <f>"SUMADORA TEXATRON"</f>
        <v>SUMADORA TEXATRON</v>
      </c>
      <c r="G738" s="31" t="s">
        <v>14</v>
      </c>
      <c r="H738" s="31" t="s">
        <v>15</v>
      </c>
      <c r="I738" s="32">
        <v>1</v>
      </c>
      <c r="J738" s="42" t="s">
        <v>16</v>
      </c>
      <c r="K738" s="10">
        <v>10</v>
      </c>
    </row>
    <row r="739" spans="1:11" ht="36.75" x14ac:dyDescent="0.3">
      <c r="A739" s="33">
        <v>735</v>
      </c>
      <c r="B739" s="34" t="s">
        <v>560</v>
      </c>
      <c r="C739" s="35" t="str">
        <f>"142209"</f>
        <v>142209</v>
      </c>
      <c r="D739" s="35" t="str">
        <f>"14.142209/2024.00001/BNC"</f>
        <v>14.142209/2024.00001/BNC</v>
      </c>
      <c r="E739" s="35" t="str">
        <f>"142209240001"</f>
        <v>142209240001</v>
      </c>
      <c r="F739" s="35" t="str">
        <f>"TANQUE ESTACIONARIO DE GAS LP"</f>
        <v>TANQUE ESTACIONARIO DE GAS LP</v>
      </c>
      <c r="G739" s="35" t="s">
        <v>14</v>
      </c>
      <c r="H739" s="35" t="s">
        <v>15</v>
      </c>
      <c r="I739" s="36">
        <v>1</v>
      </c>
      <c r="J739" s="37" t="s">
        <v>37</v>
      </c>
      <c r="K739" s="11">
        <v>1000</v>
      </c>
    </row>
    <row r="740" spans="1:11" ht="36.75" x14ac:dyDescent="0.3">
      <c r="A740" s="33">
        <v>736</v>
      </c>
      <c r="B740" s="34" t="s">
        <v>560</v>
      </c>
      <c r="C740" s="35" t="str">
        <f>"142209"</f>
        <v>142209</v>
      </c>
      <c r="D740" s="35" t="str">
        <f>"14.142209/2024.00002/BNC"</f>
        <v>14.142209/2024.00002/BNC</v>
      </c>
      <c r="E740" s="35" t="str">
        <f>"142209240002"</f>
        <v>142209240002</v>
      </c>
      <c r="F740" s="35" t="str">
        <f>"TANQUE DE GAS LP ESTACIONARIO"</f>
        <v>TANQUE DE GAS LP ESTACIONARIO</v>
      </c>
      <c r="G740" s="35" t="s">
        <v>14</v>
      </c>
      <c r="H740" s="35" t="s">
        <v>15</v>
      </c>
      <c r="I740" s="36">
        <v>1</v>
      </c>
      <c r="J740" s="37" t="s">
        <v>37</v>
      </c>
      <c r="K740" s="11">
        <v>3500</v>
      </c>
    </row>
    <row r="741" spans="1:11" ht="36.75" x14ac:dyDescent="0.3">
      <c r="A741" s="38">
        <v>737</v>
      </c>
      <c r="B741" s="44" t="s">
        <v>561</v>
      </c>
      <c r="C741" s="45">
        <v>142408</v>
      </c>
      <c r="D741" s="45" t="s">
        <v>562</v>
      </c>
      <c r="E741" s="46">
        <v>142408240021</v>
      </c>
      <c r="F741" s="45" t="s">
        <v>563</v>
      </c>
      <c r="G741" s="45" t="s">
        <v>14</v>
      </c>
      <c r="H741" s="45" t="s">
        <v>15</v>
      </c>
      <c r="I741" s="47">
        <v>1</v>
      </c>
      <c r="J741" s="48" t="s">
        <v>16</v>
      </c>
      <c r="K741" s="10">
        <v>25</v>
      </c>
    </row>
    <row r="742" spans="1:11" ht="36.75" x14ac:dyDescent="0.3">
      <c r="A742" s="22">
        <v>738</v>
      </c>
      <c r="B742" s="44" t="s">
        <v>561</v>
      </c>
      <c r="C742" s="45">
        <v>142408</v>
      </c>
      <c r="D742" s="45" t="s">
        <v>564</v>
      </c>
      <c r="E742" s="46">
        <v>142408240022</v>
      </c>
      <c r="F742" s="45" t="s">
        <v>563</v>
      </c>
      <c r="G742" s="45" t="s">
        <v>14</v>
      </c>
      <c r="H742" s="45" t="s">
        <v>15</v>
      </c>
      <c r="I742" s="47">
        <v>1</v>
      </c>
      <c r="J742" s="48" t="s">
        <v>16</v>
      </c>
      <c r="K742" s="10">
        <v>25</v>
      </c>
    </row>
    <row r="743" spans="1:11" ht="36.75" x14ac:dyDescent="0.3">
      <c r="A743" s="22">
        <v>739</v>
      </c>
      <c r="B743" s="44" t="s">
        <v>561</v>
      </c>
      <c r="C743" s="45">
        <v>142408</v>
      </c>
      <c r="D743" s="45" t="s">
        <v>565</v>
      </c>
      <c r="E743" s="46">
        <v>142408240023</v>
      </c>
      <c r="F743" s="45" t="s">
        <v>563</v>
      </c>
      <c r="G743" s="45" t="s">
        <v>14</v>
      </c>
      <c r="H743" s="45" t="s">
        <v>15</v>
      </c>
      <c r="I743" s="47">
        <v>1</v>
      </c>
      <c r="J743" s="48" t="s">
        <v>16</v>
      </c>
      <c r="K743" s="10">
        <v>25</v>
      </c>
    </row>
    <row r="744" spans="1:11" ht="36.75" x14ac:dyDescent="0.3">
      <c r="A744" s="22">
        <v>740</v>
      </c>
      <c r="B744" s="44" t="s">
        <v>561</v>
      </c>
      <c r="C744" s="45">
        <v>142408</v>
      </c>
      <c r="D744" s="45" t="s">
        <v>566</v>
      </c>
      <c r="E744" s="46">
        <v>142408240024</v>
      </c>
      <c r="F744" s="45" t="s">
        <v>563</v>
      </c>
      <c r="G744" s="45" t="s">
        <v>14</v>
      </c>
      <c r="H744" s="45" t="s">
        <v>15</v>
      </c>
      <c r="I744" s="47">
        <v>1</v>
      </c>
      <c r="J744" s="48" t="s">
        <v>16</v>
      </c>
      <c r="K744" s="10">
        <v>25</v>
      </c>
    </row>
    <row r="745" spans="1:11" ht="36.75" x14ac:dyDescent="0.3">
      <c r="A745" s="22">
        <v>741</v>
      </c>
      <c r="B745" s="44" t="s">
        <v>561</v>
      </c>
      <c r="C745" s="45">
        <v>142408</v>
      </c>
      <c r="D745" s="45" t="s">
        <v>567</v>
      </c>
      <c r="E745" s="46">
        <v>142408240025</v>
      </c>
      <c r="F745" s="45" t="s">
        <v>563</v>
      </c>
      <c r="G745" s="45" t="s">
        <v>14</v>
      </c>
      <c r="H745" s="45" t="s">
        <v>15</v>
      </c>
      <c r="I745" s="47">
        <v>1</v>
      </c>
      <c r="J745" s="48" t="s">
        <v>16</v>
      </c>
      <c r="K745" s="10">
        <v>25</v>
      </c>
    </row>
    <row r="746" spans="1:11" ht="36.75" x14ac:dyDescent="0.3">
      <c r="A746" s="22">
        <v>742</v>
      </c>
      <c r="B746" s="44" t="s">
        <v>561</v>
      </c>
      <c r="C746" s="45">
        <v>142408</v>
      </c>
      <c r="D746" s="45" t="s">
        <v>568</v>
      </c>
      <c r="E746" s="46">
        <v>142408240026</v>
      </c>
      <c r="F746" s="45" t="s">
        <v>563</v>
      </c>
      <c r="G746" s="45" t="s">
        <v>14</v>
      </c>
      <c r="H746" s="45" t="s">
        <v>15</v>
      </c>
      <c r="I746" s="47">
        <v>1</v>
      </c>
      <c r="J746" s="48" t="s">
        <v>16</v>
      </c>
      <c r="K746" s="10">
        <v>25</v>
      </c>
    </row>
    <row r="747" spans="1:11" ht="36.75" x14ac:dyDescent="0.3">
      <c r="A747" s="22">
        <v>743</v>
      </c>
      <c r="B747" s="44" t="s">
        <v>561</v>
      </c>
      <c r="C747" s="45">
        <v>142408</v>
      </c>
      <c r="D747" s="45" t="s">
        <v>569</v>
      </c>
      <c r="E747" s="46">
        <v>142408240027</v>
      </c>
      <c r="F747" s="45" t="s">
        <v>563</v>
      </c>
      <c r="G747" s="45" t="s">
        <v>14</v>
      </c>
      <c r="H747" s="45" t="s">
        <v>15</v>
      </c>
      <c r="I747" s="47">
        <v>1</v>
      </c>
      <c r="J747" s="48" t="s">
        <v>16</v>
      </c>
      <c r="K747" s="10">
        <v>25</v>
      </c>
    </row>
    <row r="748" spans="1:11" ht="36.75" x14ac:dyDescent="0.3">
      <c r="A748" s="22">
        <v>744</v>
      </c>
      <c r="B748" s="44" t="s">
        <v>561</v>
      </c>
      <c r="C748" s="45">
        <v>142408</v>
      </c>
      <c r="D748" s="45" t="s">
        <v>570</v>
      </c>
      <c r="E748" s="46">
        <v>142408240028</v>
      </c>
      <c r="F748" s="45" t="s">
        <v>563</v>
      </c>
      <c r="G748" s="45" t="s">
        <v>14</v>
      </c>
      <c r="H748" s="45" t="s">
        <v>15</v>
      </c>
      <c r="I748" s="47">
        <v>1</v>
      </c>
      <c r="J748" s="48" t="s">
        <v>16</v>
      </c>
      <c r="K748" s="10">
        <v>25</v>
      </c>
    </row>
    <row r="749" spans="1:11" ht="36.75" x14ac:dyDescent="0.3">
      <c r="A749" s="22">
        <v>745</v>
      </c>
      <c r="B749" s="44" t="s">
        <v>561</v>
      </c>
      <c r="C749" s="45">
        <v>142408</v>
      </c>
      <c r="D749" s="45" t="s">
        <v>571</v>
      </c>
      <c r="E749" s="46">
        <v>142408240029</v>
      </c>
      <c r="F749" s="45" t="s">
        <v>563</v>
      </c>
      <c r="G749" s="45" t="s">
        <v>14</v>
      </c>
      <c r="H749" s="45" t="s">
        <v>15</v>
      </c>
      <c r="I749" s="47">
        <v>1</v>
      </c>
      <c r="J749" s="48" t="s">
        <v>16</v>
      </c>
      <c r="K749" s="10">
        <v>25</v>
      </c>
    </row>
    <row r="750" spans="1:11" ht="36.75" x14ac:dyDescent="0.3">
      <c r="A750" s="22">
        <v>746</v>
      </c>
      <c r="B750" s="44" t="s">
        <v>561</v>
      </c>
      <c r="C750" s="45">
        <v>142408</v>
      </c>
      <c r="D750" s="45" t="s">
        <v>572</v>
      </c>
      <c r="E750" s="46">
        <v>142408240030</v>
      </c>
      <c r="F750" s="45" t="s">
        <v>563</v>
      </c>
      <c r="G750" s="45" t="s">
        <v>14</v>
      </c>
      <c r="H750" s="45" t="s">
        <v>15</v>
      </c>
      <c r="I750" s="47">
        <v>1</v>
      </c>
      <c r="J750" s="48" t="s">
        <v>16</v>
      </c>
      <c r="K750" s="10">
        <v>25</v>
      </c>
    </row>
    <row r="751" spans="1:11" ht="36.75" x14ac:dyDescent="0.3">
      <c r="A751" s="22">
        <v>747</v>
      </c>
      <c r="B751" s="44" t="s">
        <v>561</v>
      </c>
      <c r="C751" s="45">
        <v>142408</v>
      </c>
      <c r="D751" s="45" t="s">
        <v>573</v>
      </c>
      <c r="E751" s="46">
        <v>142408240031</v>
      </c>
      <c r="F751" s="45" t="s">
        <v>563</v>
      </c>
      <c r="G751" s="45" t="s">
        <v>14</v>
      </c>
      <c r="H751" s="45" t="s">
        <v>15</v>
      </c>
      <c r="I751" s="47">
        <v>1</v>
      </c>
      <c r="J751" s="48" t="s">
        <v>16</v>
      </c>
      <c r="K751" s="10">
        <v>25</v>
      </c>
    </row>
    <row r="752" spans="1:11" ht="36.75" x14ac:dyDescent="0.3">
      <c r="A752" s="22">
        <v>748</v>
      </c>
      <c r="B752" s="44" t="s">
        <v>561</v>
      </c>
      <c r="C752" s="45">
        <v>142408</v>
      </c>
      <c r="D752" s="45" t="s">
        <v>574</v>
      </c>
      <c r="E752" s="46">
        <v>142408240032</v>
      </c>
      <c r="F752" s="45" t="s">
        <v>563</v>
      </c>
      <c r="G752" s="45" t="s">
        <v>14</v>
      </c>
      <c r="H752" s="45" t="s">
        <v>15</v>
      </c>
      <c r="I752" s="47">
        <v>1</v>
      </c>
      <c r="J752" s="48" t="s">
        <v>16</v>
      </c>
      <c r="K752" s="10">
        <v>25</v>
      </c>
    </row>
    <row r="753" spans="1:11" ht="36.75" x14ac:dyDescent="0.3">
      <c r="A753" s="22">
        <v>749</v>
      </c>
      <c r="B753" s="44" t="s">
        <v>561</v>
      </c>
      <c r="C753" s="45">
        <v>142408</v>
      </c>
      <c r="D753" s="45" t="s">
        <v>575</v>
      </c>
      <c r="E753" s="46">
        <v>142408240033</v>
      </c>
      <c r="F753" s="45" t="s">
        <v>576</v>
      </c>
      <c r="G753" s="45" t="s">
        <v>14</v>
      </c>
      <c r="H753" s="45" t="s">
        <v>15</v>
      </c>
      <c r="I753" s="47">
        <v>1</v>
      </c>
      <c r="J753" s="48" t="s">
        <v>16</v>
      </c>
      <c r="K753" s="10">
        <v>25</v>
      </c>
    </row>
    <row r="754" spans="1:11" ht="36.75" x14ac:dyDescent="0.3">
      <c r="A754" s="22">
        <v>750</v>
      </c>
      <c r="B754" s="44" t="s">
        <v>561</v>
      </c>
      <c r="C754" s="45">
        <v>142408</v>
      </c>
      <c r="D754" s="45" t="s">
        <v>577</v>
      </c>
      <c r="E754" s="46">
        <v>142408240034</v>
      </c>
      <c r="F754" s="45" t="s">
        <v>576</v>
      </c>
      <c r="G754" s="45" t="s">
        <v>14</v>
      </c>
      <c r="H754" s="45" t="s">
        <v>15</v>
      </c>
      <c r="I754" s="47">
        <v>1</v>
      </c>
      <c r="J754" s="48" t="s">
        <v>16</v>
      </c>
      <c r="K754" s="10">
        <v>25</v>
      </c>
    </row>
    <row r="755" spans="1:11" ht="36.75" x14ac:dyDescent="0.3">
      <c r="A755" s="22">
        <v>751</v>
      </c>
      <c r="B755" s="44" t="s">
        <v>561</v>
      </c>
      <c r="C755" s="45">
        <v>142408</v>
      </c>
      <c r="D755" s="45" t="s">
        <v>578</v>
      </c>
      <c r="E755" s="46">
        <v>142408240035</v>
      </c>
      <c r="F755" s="45" t="s">
        <v>576</v>
      </c>
      <c r="G755" s="45" t="s">
        <v>14</v>
      </c>
      <c r="H755" s="45" t="s">
        <v>15</v>
      </c>
      <c r="I755" s="47">
        <v>1</v>
      </c>
      <c r="J755" s="48" t="s">
        <v>16</v>
      </c>
      <c r="K755" s="10">
        <v>25</v>
      </c>
    </row>
    <row r="756" spans="1:11" ht="36.75" x14ac:dyDescent="0.3">
      <c r="A756" s="22">
        <v>752</v>
      </c>
      <c r="B756" s="44" t="s">
        <v>561</v>
      </c>
      <c r="C756" s="45">
        <v>142408</v>
      </c>
      <c r="D756" s="45" t="s">
        <v>579</v>
      </c>
      <c r="E756" s="46">
        <v>142408240036</v>
      </c>
      <c r="F756" s="45" t="s">
        <v>576</v>
      </c>
      <c r="G756" s="45" t="s">
        <v>14</v>
      </c>
      <c r="H756" s="45" t="s">
        <v>15</v>
      </c>
      <c r="I756" s="47">
        <v>1</v>
      </c>
      <c r="J756" s="48" t="s">
        <v>16</v>
      </c>
      <c r="K756" s="10">
        <v>25</v>
      </c>
    </row>
    <row r="757" spans="1:11" ht="36.75" x14ac:dyDescent="0.3">
      <c r="A757" s="22">
        <v>753</v>
      </c>
      <c r="B757" s="44" t="s">
        <v>561</v>
      </c>
      <c r="C757" s="45">
        <v>142408</v>
      </c>
      <c r="D757" s="45" t="s">
        <v>580</v>
      </c>
      <c r="E757" s="46">
        <v>142408240037</v>
      </c>
      <c r="F757" s="45" t="s">
        <v>576</v>
      </c>
      <c r="G757" s="45" t="s">
        <v>14</v>
      </c>
      <c r="H757" s="45" t="s">
        <v>15</v>
      </c>
      <c r="I757" s="47">
        <v>1</v>
      </c>
      <c r="J757" s="48" t="s">
        <v>16</v>
      </c>
      <c r="K757" s="10">
        <v>25</v>
      </c>
    </row>
    <row r="758" spans="1:11" ht="36.75" x14ac:dyDescent="0.3">
      <c r="A758" s="22">
        <v>754</v>
      </c>
      <c r="B758" s="44" t="s">
        <v>561</v>
      </c>
      <c r="C758" s="45">
        <v>142408</v>
      </c>
      <c r="D758" s="45" t="s">
        <v>581</v>
      </c>
      <c r="E758" s="46">
        <v>142408240038</v>
      </c>
      <c r="F758" s="45" t="s">
        <v>582</v>
      </c>
      <c r="G758" s="45" t="s">
        <v>14</v>
      </c>
      <c r="H758" s="45" t="s">
        <v>15</v>
      </c>
      <c r="I758" s="47">
        <v>1</v>
      </c>
      <c r="J758" s="48" t="s">
        <v>16</v>
      </c>
      <c r="K758" s="10">
        <v>20</v>
      </c>
    </row>
    <row r="759" spans="1:11" ht="36.75" x14ac:dyDescent="0.3">
      <c r="A759" s="22">
        <v>755</v>
      </c>
      <c r="B759" s="44" t="s">
        <v>561</v>
      </c>
      <c r="C759" s="45">
        <v>142408</v>
      </c>
      <c r="D759" s="45" t="s">
        <v>583</v>
      </c>
      <c r="E759" s="46">
        <v>142408240039</v>
      </c>
      <c r="F759" s="45" t="s">
        <v>582</v>
      </c>
      <c r="G759" s="45" t="s">
        <v>14</v>
      </c>
      <c r="H759" s="45" t="s">
        <v>15</v>
      </c>
      <c r="I759" s="47">
        <v>1</v>
      </c>
      <c r="J759" s="48" t="s">
        <v>16</v>
      </c>
      <c r="K759" s="10">
        <v>20</v>
      </c>
    </row>
    <row r="760" spans="1:11" ht="36.75" x14ac:dyDescent="0.3">
      <c r="A760" s="22">
        <v>756</v>
      </c>
      <c r="B760" s="44" t="s">
        <v>561</v>
      </c>
      <c r="C760" s="45">
        <v>142408</v>
      </c>
      <c r="D760" s="45" t="s">
        <v>584</v>
      </c>
      <c r="E760" s="46">
        <v>142408240040</v>
      </c>
      <c r="F760" s="45" t="s">
        <v>582</v>
      </c>
      <c r="G760" s="45" t="s">
        <v>14</v>
      </c>
      <c r="H760" s="45" t="s">
        <v>15</v>
      </c>
      <c r="I760" s="47">
        <v>1</v>
      </c>
      <c r="J760" s="48" t="s">
        <v>16</v>
      </c>
      <c r="K760" s="10">
        <v>20</v>
      </c>
    </row>
    <row r="761" spans="1:11" ht="36.75" x14ac:dyDescent="0.3">
      <c r="A761" s="22">
        <v>757</v>
      </c>
      <c r="B761" s="44" t="s">
        <v>561</v>
      </c>
      <c r="C761" s="45">
        <v>142408</v>
      </c>
      <c r="D761" s="45" t="s">
        <v>585</v>
      </c>
      <c r="E761" s="46">
        <v>142408240041</v>
      </c>
      <c r="F761" s="45" t="s">
        <v>582</v>
      </c>
      <c r="G761" s="45" t="s">
        <v>14</v>
      </c>
      <c r="H761" s="45" t="s">
        <v>15</v>
      </c>
      <c r="I761" s="47">
        <v>1</v>
      </c>
      <c r="J761" s="48" t="s">
        <v>16</v>
      </c>
      <c r="K761" s="10">
        <v>20</v>
      </c>
    </row>
    <row r="762" spans="1:11" ht="36.75" x14ac:dyDescent="0.3">
      <c r="A762" s="22">
        <v>758</v>
      </c>
      <c r="B762" s="44" t="s">
        <v>561</v>
      </c>
      <c r="C762" s="45">
        <v>142408</v>
      </c>
      <c r="D762" s="45" t="s">
        <v>586</v>
      </c>
      <c r="E762" s="46">
        <v>142408240042</v>
      </c>
      <c r="F762" s="45" t="s">
        <v>587</v>
      </c>
      <c r="G762" s="45" t="s">
        <v>14</v>
      </c>
      <c r="H762" s="45" t="s">
        <v>15</v>
      </c>
      <c r="I762" s="47">
        <v>1</v>
      </c>
      <c r="J762" s="48" t="s">
        <v>16</v>
      </c>
      <c r="K762" s="10">
        <v>25</v>
      </c>
    </row>
    <row r="763" spans="1:11" ht="36.75" x14ac:dyDescent="0.3">
      <c r="A763" s="22">
        <v>759</v>
      </c>
      <c r="B763" s="23" t="s">
        <v>588</v>
      </c>
      <c r="C763" s="24" t="str">
        <f t="shared" ref="C763:C787" si="30">"142458"</f>
        <v>142458</v>
      </c>
      <c r="D763" s="24" t="str">
        <f>"14.142458/2024.00054/BNC"</f>
        <v>14.142458/2024.00054/BNC</v>
      </c>
      <c r="E763" s="24" t="str">
        <f>"142458240054"</f>
        <v>142458240054</v>
      </c>
      <c r="F763" s="24" t="str">
        <f>"CAJA FUERTE, NS:4300"</f>
        <v>CAJA FUERTE, NS:4300</v>
      </c>
      <c r="G763" s="24" t="s">
        <v>14</v>
      </c>
      <c r="H763" s="24" t="s">
        <v>15</v>
      </c>
      <c r="I763" s="27">
        <v>1</v>
      </c>
      <c r="J763" s="48" t="s">
        <v>16</v>
      </c>
      <c r="K763" s="10">
        <v>400</v>
      </c>
    </row>
    <row r="764" spans="1:11" ht="36.75" x14ac:dyDescent="0.3">
      <c r="A764" s="22">
        <v>760</v>
      </c>
      <c r="B764" s="23" t="s">
        <v>588</v>
      </c>
      <c r="C764" s="24" t="str">
        <f t="shared" si="30"/>
        <v>142458</v>
      </c>
      <c r="D764" s="24" t="str">
        <f>"14.142458/2024.00055/BNC"</f>
        <v>14.142458/2024.00055/BNC</v>
      </c>
      <c r="E764" s="24" t="str">
        <f>"142458240055"</f>
        <v>142458240055</v>
      </c>
      <c r="F764" s="24" t="str">
        <f>"IMPRESORA LASER IMAGER, NS:9210436"</f>
        <v>IMPRESORA LASER IMAGER, NS:9210436</v>
      </c>
      <c r="G764" s="24" t="s">
        <v>14</v>
      </c>
      <c r="H764" s="24" t="s">
        <v>15</v>
      </c>
      <c r="I764" s="27">
        <v>1</v>
      </c>
      <c r="J764" s="48" t="s">
        <v>16</v>
      </c>
      <c r="K764" s="10">
        <v>25</v>
      </c>
    </row>
    <row r="765" spans="1:11" ht="36.75" x14ac:dyDescent="0.3">
      <c r="A765" s="22">
        <v>761</v>
      </c>
      <c r="B765" s="23" t="s">
        <v>588</v>
      </c>
      <c r="C765" s="24" t="str">
        <f t="shared" si="30"/>
        <v>142458</v>
      </c>
      <c r="D765" s="24" t="str">
        <f>"14.142458/2024.00056/BNC"</f>
        <v>14.142458/2024.00056/BNC</v>
      </c>
      <c r="E765" s="24" t="str">
        <f>"142458240056"</f>
        <v>142458240056</v>
      </c>
      <c r="F765" s="24" t="str">
        <f>"PINZA PORTA AMALGAMA NS:7333-932"</f>
        <v>PINZA PORTA AMALGAMA NS:7333-932</v>
      </c>
      <c r="G765" s="24" t="s">
        <v>14</v>
      </c>
      <c r="H765" s="24" t="s">
        <v>15</v>
      </c>
      <c r="I765" s="27">
        <v>1</v>
      </c>
      <c r="J765" s="48" t="s">
        <v>16</v>
      </c>
      <c r="K765" s="10">
        <v>5</v>
      </c>
    </row>
    <row r="766" spans="1:11" ht="36.75" x14ac:dyDescent="0.3">
      <c r="A766" s="22">
        <v>762</v>
      </c>
      <c r="B766" s="23" t="s">
        <v>588</v>
      </c>
      <c r="C766" s="24" t="str">
        <f t="shared" si="30"/>
        <v>142458</v>
      </c>
      <c r="D766" s="24" t="str">
        <f>"14.142458/2024.00057/BNC"</f>
        <v>14.142458/2024.00057/BNC</v>
      </c>
      <c r="E766" s="24" t="str">
        <f>"142458240057"</f>
        <v>142458240057</v>
      </c>
      <c r="F766" s="24" t="str">
        <f>"PINZA PORTA AMALGAMA, NS:7333-932"</f>
        <v>PINZA PORTA AMALGAMA, NS:7333-932</v>
      </c>
      <c r="G766" s="24" t="s">
        <v>14</v>
      </c>
      <c r="H766" s="24" t="s">
        <v>15</v>
      </c>
      <c r="I766" s="27">
        <v>1</v>
      </c>
      <c r="J766" s="48" t="s">
        <v>16</v>
      </c>
      <c r="K766" s="10">
        <v>5</v>
      </c>
    </row>
    <row r="767" spans="1:11" ht="36.75" x14ac:dyDescent="0.3">
      <c r="A767" s="22">
        <v>763</v>
      </c>
      <c r="B767" s="23" t="s">
        <v>588</v>
      </c>
      <c r="C767" s="24" t="str">
        <f t="shared" si="30"/>
        <v>142458</v>
      </c>
      <c r="D767" s="24" t="str">
        <f>"14.142458/2024.00058/BNC"</f>
        <v>14.142458/2024.00058/BNC</v>
      </c>
      <c r="E767" s="24" t="str">
        <f>"142458240058"</f>
        <v>142458240058</v>
      </c>
      <c r="F767" s="24" t="str">
        <f>"PINZA PORTA AMALGAMA, NS:7333-932"</f>
        <v>PINZA PORTA AMALGAMA, NS:7333-932</v>
      </c>
      <c r="G767" s="24" t="s">
        <v>14</v>
      </c>
      <c r="H767" s="24" t="s">
        <v>15</v>
      </c>
      <c r="I767" s="27">
        <v>1</v>
      </c>
      <c r="J767" s="48" t="s">
        <v>16</v>
      </c>
      <c r="K767" s="10">
        <v>5</v>
      </c>
    </row>
    <row r="768" spans="1:11" ht="36.75" x14ac:dyDescent="0.3">
      <c r="A768" s="22">
        <v>764</v>
      </c>
      <c r="B768" s="23" t="s">
        <v>588</v>
      </c>
      <c r="C768" s="24" t="str">
        <f t="shared" si="30"/>
        <v>142458</v>
      </c>
      <c r="D768" s="24" t="str">
        <f>"14.142458/2024.00059/BNC"</f>
        <v>14.142458/2024.00059/BNC</v>
      </c>
      <c r="E768" s="24" t="str">
        <f>"142458240059"</f>
        <v>142458240059</v>
      </c>
      <c r="F768" s="24" t="str">
        <f>"PINZA PORTA AMALGAMA"</f>
        <v>PINZA PORTA AMALGAMA</v>
      </c>
      <c r="G768" s="24" t="s">
        <v>14</v>
      </c>
      <c r="H768" s="24" t="s">
        <v>15</v>
      </c>
      <c r="I768" s="27">
        <v>1</v>
      </c>
      <c r="J768" s="48" t="s">
        <v>16</v>
      </c>
      <c r="K768" s="10">
        <v>5</v>
      </c>
    </row>
    <row r="769" spans="1:11" ht="36.75" x14ac:dyDescent="0.3">
      <c r="A769" s="22">
        <v>765</v>
      </c>
      <c r="B769" s="23" t="s">
        <v>588</v>
      </c>
      <c r="C769" s="24" t="str">
        <f t="shared" si="30"/>
        <v>142458</v>
      </c>
      <c r="D769" s="24" t="str">
        <f>"14.142458/2024.00060/BNC"</f>
        <v>14.142458/2024.00060/BNC</v>
      </c>
      <c r="E769" s="24" t="str">
        <f>"142458240060"</f>
        <v>142458240060</v>
      </c>
      <c r="F769" s="24" t="str">
        <f>"PINZA PORTA AMALGAMA"</f>
        <v>PINZA PORTA AMALGAMA</v>
      </c>
      <c r="G769" s="24" t="s">
        <v>14</v>
      </c>
      <c r="H769" s="24" t="s">
        <v>15</v>
      </c>
      <c r="I769" s="27">
        <v>1</v>
      </c>
      <c r="J769" s="48" t="s">
        <v>16</v>
      </c>
      <c r="K769" s="10">
        <v>5</v>
      </c>
    </row>
    <row r="770" spans="1:11" ht="36.75" x14ac:dyDescent="0.3">
      <c r="A770" s="22">
        <v>766</v>
      </c>
      <c r="B770" s="23" t="s">
        <v>588</v>
      </c>
      <c r="C770" s="24" t="str">
        <f t="shared" si="30"/>
        <v>142458</v>
      </c>
      <c r="D770" s="24" t="str">
        <f>"14.142458/2024.00061/BNC"</f>
        <v>14.142458/2024.00061/BNC</v>
      </c>
      <c r="E770" s="24" t="str">
        <f>"142458240061"</f>
        <v>142458240061</v>
      </c>
      <c r="F770" s="24" t="str">
        <f>"PINZA PORTA AMALGAMA"</f>
        <v>PINZA PORTA AMALGAMA</v>
      </c>
      <c r="G770" s="24" t="s">
        <v>14</v>
      </c>
      <c r="H770" s="24" t="s">
        <v>15</v>
      </c>
      <c r="I770" s="27">
        <v>1</v>
      </c>
      <c r="J770" s="48" t="s">
        <v>16</v>
      </c>
      <c r="K770" s="10">
        <v>5</v>
      </c>
    </row>
    <row r="771" spans="1:11" ht="36.75" x14ac:dyDescent="0.3">
      <c r="A771" s="22">
        <v>767</v>
      </c>
      <c r="B771" s="23" t="s">
        <v>588</v>
      </c>
      <c r="C771" s="24" t="str">
        <f t="shared" si="30"/>
        <v>142458</v>
      </c>
      <c r="D771" s="24" t="str">
        <f>"14.142458/2024.00062/BNC"</f>
        <v>14.142458/2024.00062/BNC</v>
      </c>
      <c r="E771" s="24" t="str">
        <f>"142458240062"</f>
        <v>142458240062</v>
      </c>
      <c r="F771" s="24" t="str">
        <f>"PINZA PORTA AMALGAMA"</f>
        <v>PINZA PORTA AMALGAMA</v>
      </c>
      <c r="G771" s="24" t="s">
        <v>14</v>
      </c>
      <c r="H771" s="24" t="s">
        <v>15</v>
      </c>
      <c r="I771" s="27">
        <v>1</v>
      </c>
      <c r="J771" s="48" t="s">
        <v>16</v>
      </c>
      <c r="K771" s="10">
        <v>5</v>
      </c>
    </row>
    <row r="772" spans="1:11" ht="36.75" x14ac:dyDescent="0.3">
      <c r="A772" s="22">
        <v>768</v>
      </c>
      <c r="B772" s="23" t="s">
        <v>588</v>
      </c>
      <c r="C772" s="24" t="str">
        <f t="shared" si="30"/>
        <v>142458</v>
      </c>
      <c r="D772" s="24" t="str">
        <f>"14.142458/2024.00063/BNC"</f>
        <v>14.142458/2024.00063/BNC</v>
      </c>
      <c r="E772" s="24" t="str">
        <f>"142458240063"</f>
        <v>142458240063</v>
      </c>
      <c r="F772" s="24" t="str">
        <f>"PINZA/PORTA AMALGAMA"</f>
        <v>PINZA/PORTA AMALGAMA</v>
      </c>
      <c r="G772" s="24" t="s">
        <v>14</v>
      </c>
      <c r="H772" s="24" t="s">
        <v>15</v>
      </c>
      <c r="I772" s="27">
        <v>1</v>
      </c>
      <c r="J772" s="48" t="s">
        <v>16</v>
      </c>
      <c r="K772" s="10">
        <v>5</v>
      </c>
    </row>
    <row r="773" spans="1:11" ht="36.75" x14ac:dyDescent="0.3">
      <c r="A773" s="22">
        <v>769</v>
      </c>
      <c r="B773" s="23" t="s">
        <v>588</v>
      </c>
      <c r="C773" s="24" t="str">
        <f t="shared" si="30"/>
        <v>142458</v>
      </c>
      <c r="D773" s="24" t="str">
        <f>"14.142458/2024.00064/BNC"</f>
        <v>14.142458/2024.00064/BNC</v>
      </c>
      <c r="E773" s="24" t="str">
        <f>"142458240064"</f>
        <v>142458240064</v>
      </c>
      <c r="F773" s="24" t="str">
        <f>"PINZA PORTA AMALGAMA"</f>
        <v>PINZA PORTA AMALGAMA</v>
      </c>
      <c r="G773" s="24" t="s">
        <v>14</v>
      </c>
      <c r="H773" s="24" t="s">
        <v>15</v>
      </c>
      <c r="I773" s="27">
        <v>1</v>
      </c>
      <c r="J773" s="48" t="s">
        <v>16</v>
      </c>
      <c r="K773" s="10">
        <v>5</v>
      </c>
    </row>
    <row r="774" spans="1:11" ht="36.75" x14ac:dyDescent="0.3">
      <c r="A774" s="22">
        <v>770</v>
      </c>
      <c r="B774" s="23" t="s">
        <v>588</v>
      </c>
      <c r="C774" s="24" t="str">
        <f t="shared" si="30"/>
        <v>142458</v>
      </c>
      <c r="D774" s="24" t="str">
        <f>"14.142458/2024.00065/BNC"</f>
        <v>14.142458/2024.00065/BNC</v>
      </c>
      <c r="E774" s="24" t="str">
        <f>"142458240065"</f>
        <v>142458240065</v>
      </c>
      <c r="F774" s="24" t="str">
        <f t="shared" ref="F774:F780" si="31">"JERINGA DE CARPULE"</f>
        <v>JERINGA DE CARPULE</v>
      </c>
      <c r="G774" s="24" t="s">
        <v>14</v>
      </c>
      <c r="H774" s="24" t="s">
        <v>15</v>
      </c>
      <c r="I774" s="27">
        <v>1</v>
      </c>
      <c r="J774" s="48" t="s">
        <v>16</v>
      </c>
      <c r="K774" s="10">
        <v>5</v>
      </c>
    </row>
    <row r="775" spans="1:11" ht="36.75" x14ac:dyDescent="0.3">
      <c r="A775" s="22">
        <v>771</v>
      </c>
      <c r="B775" s="23" t="s">
        <v>588</v>
      </c>
      <c r="C775" s="24" t="str">
        <f t="shared" si="30"/>
        <v>142458</v>
      </c>
      <c r="D775" s="24" t="str">
        <f>"14.142458/2024.00066/BNC"</f>
        <v>14.142458/2024.00066/BNC</v>
      </c>
      <c r="E775" s="24" t="str">
        <f>"142458240066"</f>
        <v>142458240066</v>
      </c>
      <c r="F775" s="24" t="str">
        <f t="shared" si="31"/>
        <v>JERINGA DE CARPULE</v>
      </c>
      <c r="G775" s="24" t="s">
        <v>14</v>
      </c>
      <c r="H775" s="24" t="s">
        <v>15</v>
      </c>
      <c r="I775" s="27">
        <v>1</v>
      </c>
      <c r="J775" s="48" t="s">
        <v>16</v>
      </c>
      <c r="K775" s="10">
        <v>5</v>
      </c>
    </row>
    <row r="776" spans="1:11" ht="36.75" x14ac:dyDescent="0.3">
      <c r="A776" s="22">
        <v>772</v>
      </c>
      <c r="B776" s="23" t="s">
        <v>588</v>
      </c>
      <c r="C776" s="24" t="str">
        <f t="shared" si="30"/>
        <v>142458</v>
      </c>
      <c r="D776" s="24" t="str">
        <f>"14.142458/2024.00067/BNC"</f>
        <v>14.142458/2024.00067/BNC</v>
      </c>
      <c r="E776" s="24" t="str">
        <f>"142458240067"</f>
        <v>142458240067</v>
      </c>
      <c r="F776" s="24" t="str">
        <f t="shared" si="31"/>
        <v>JERINGA DE CARPULE</v>
      </c>
      <c r="G776" s="24" t="s">
        <v>14</v>
      </c>
      <c r="H776" s="24" t="s">
        <v>15</v>
      </c>
      <c r="I776" s="27">
        <v>1</v>
      </c>
      <c r="J776" s="48" t="s">
        <v>16</v>
      </c>
      <c r="K776" s="10">
        <v>5</v>
      </c>
    </row>
    <row r="777" spans="1:11" ht="36.75" x14ac:dyDescent="0.3">
      <c r="A777" s="22">
        <v>773</v>
      </c>
      <c r="B777" s="23" t="s">
        <v>588</v>
      </c>
      <c r="C777" s="24" t="str">
        <f t="shared" si="30"/>
        <v>142458</v>
      </c>
      <c r="D777" s="24" t="str">
        <f>"14.142458/2024.00068/BNC"</f>
        <v>14.142458/2024.00068/BNC</v>
      </c>
      <c r="E777" s="24" t="str">
        <f>"142458240068"</f>
        <v>142458240068</v>
      </c>
      <c r="F777" s="24" t="str">
        <f t="shared" si="31"/>
        <v>JERINGA DE CARPULE</v>
      </c>
      <c r="G777" s="24" t="s">
        <v>14</v>
      </c>
      <c r="H777" s="24" t="s">
        <v>15</v>
      </c>
      <c r="I777" s="27">
        <v>1</v>
      </c>
      <c r="J777" s="48" t="s">
        <v>16</v>
      </c>
      <c r="K777" s="10">
        <v>5</v>
      </c>
    </row>
    <row r="778" spans="1:11" ht="36.75" x14ac:dyDescent="0.3">
      <c r="A778" s="22">
        <v>774</v>
      </c>
      <c r="B778" s="23" t="s">
        <v>588</v>
      </c>
      <c r="C778" s="24" t="str">
        <f t="shared" si="30"/>
        <v>142458</v>
      </c>
      <c r="D778" s="24" t="str">
        <f>"14.142458/2024.00069/BNC"</f>
        <v>14.142458/2024.00069/BNC</v>
      </c>
      <c r="E778" s="24" t="str">
        <f>"142458240069"</f>
        <v>142458240069</v>
      </c>
      <c r="F778" s="24" t="str">
        <f t="shared" si="31"/>
        <v>JERINGA DE CARPULE</v>
      </c>
      <c r="G778" s="24" t="s">
        <v>14</v>
      </c>
      <c r="H778" s="24" t="s">
        <v>15</v>
      </c>
      <c r="I778" s="27">
        <v>1</v>
      </c>
      <c r="J778" s="48" t="s">
        <v>16</v>
      </c>
      <c r="K778" s="10">
        <v>5</v>
      </c>
    </row>
    <row r="779" spans="1:11" ht="36.75" x14ac:dyDescent="0.3">
      <c r="A779" s="22">
        <v>775</v>
      </c>
      <c r="B779" s="23" t="s">
        <v>588</v>
      </c>
      <c r="C779" s="24" t="str">
        <f t="shared" si="30"/>
        <v>142458</v>
      </c>
      <c r="D779" s="24" t="str">
        <f>"14.142458/2024.00070/BNC"</f>
        <v>14.142458/2024.00070/BNC</v>
      </c>
      <c r="E779" s="24" t="str">
        <f>"142458240070"</f>
        <v>142458240070</v>
      </c>
      <c r="F779" s="24" t="str">
        <f t="shared" si="31"/>
        <v>JERINGA DE CARPULE</v>
      </c>
      <c r="G779" s="24" t="s">
        <v>14</v>
      </c>
      <c r="H779" s="24" t="s">
        <v>15</v>
      </c>
      <c r="I779" s="27">
        <v>1</v>
      </c>
      <c r="J779" s="48" t="s">
        <v>16</v>
      </c>
      <c r="K779" s="10">
        <v>5</v>
      </c>
    </row>
    <row r="780" spans="1:11" ht="36.75" x14ac:dyDescent="0.3">
      <c r="A780" s="22">
        <v>776</v>
      </c>
      <c r="B780" s="23" t="s">
        <v>588</v>
      </c>
      <c r="C780" s="24" t="str">
        <f t="shared" si="30"/>
        <v>142458</v>
      </c>
      <c r="D780" s="24" t="str">
        <f>"14.142458/2024.00071/BNC"</f>
        <v>14.142458/2024.00071/BNC</v>
      </c>
      <c r="E780" s="24" t="str">
        <f>"142458240071"</f>
        <v>142458240071</v>
      </c>
      <c r="F780" s="24" t="str">
        <f t="shared" si="31"/>
        <v>JERINGA DE CARPULE</v>
      </c>
      <c r="G780" s="24" t="s">
        <v>14</v>
      </c>
      <c r="H780" s="24" t="s">
        <v>15</v>
      </c>
      <c r="I780" s="27">
        <v>1</v>
      </c>
      <c r="J780" s="48" t="s">
        <v>16</v>
      </c>
      <c r="K780" s="10">
        <v>5</v>
      </c>
    </row>
    <row r="781" spans="1:11" ht="36.75" x14ac:dyDescent="0.3">
      <c r="A781" s="22">
        <v>777</v>
      </c>
      <c r="B781" s="23" t="s">
        <v>588</v>
      </c>
      <c r="C781" s="24" t="str">
        <f t="shared" si="30"/>
        <v>142458</v>
      </c>
      <c r="D781" s="24" t="str">
        <f>"14.142458/2024.00072/BNC"</f>
        <v>14.142458/2024.00072/BNC</v>
      </c>
      <c r="E781" s="24" t="str">
        <f>"142458240072"</f>
        <v>142458240072</v>
      </c>
      <c r="F781" s="24" t="str">
        <f t="shared" ref="F781:F787" si="32">"PINZA DE EXPLORACION"</f>
        <v>PINZA DE EXPLORACION</v>
      </c>
      <c r="G781" s="24" t="s">
        <v>14</v>
      </c>
      <c r="H781" s="24" t="s">
        <v>15</v>
      </c>
      <c r="I781" s="27">
        <v>1</v>
      </c>
      <c r="J781" s="48" t="s">
        <v>16</v>
      </c>
      <c r="K781" s="10">
        <v>5</v>
      </c>
    </row>
    <row r="782" spans="1:11" ht="36.75" x14ac:dyDescent="0.3">
      <c r="A782" s="22">
        <v>778</v>
      </c>
      <c r="B782" s="23" t="s">
        <v>588</v>
      </c>
      <c r="C782" s="24" t="str">
        <f t="shared" si="30"/>
        <v>142458</v>
      </c>
      <c r="D782" s="24" t="str">
        <f>"14.142458/2024.00073/BNC"</f>
        <v>14.142458/2024.00073/BNC</v>
      </c>
      <c r="E782" s="24" t="str">
        <f>"142458240073"</f>
        <v>142458240073</v>
      </c>
      <c r="F782" s="24" t="str">
        <f t="shared" si="32"/>
        <v>PINZA DE EXPLORACION</v>
      </c>
      <c r="G782" s="24" t="s">
        <v>14</v>
      </c>
      <c r="H782" s="24" t="s">
        <v>15</v>
      </c>
      <c r="I782" s="27">
        <v>1</v>
      </c>
      <c r="J782" s="48" t="s">
        <v>16</v>
      </c>
      <c r="K782" s="10">
        <v>5</v>
      </c>
    </row>
    <row r="783" spans="1:11" ht="36.75" x14ac:dyDescent="0.3">
      <c r="A783" s="22">
        <v>779</v>
      </c>
      <c r="B783" s="23" t="s">
        <v>588</v>
      </c>
      <c r="C783" s="24" t="str">
        <f t="shared" si="30"/>
        <v>142458</v>
      </c>
      <c r="D783" s="24" t="str">
        <f>"14.142458/2024.00074/BNC"</f>
        <v>14.142458/2024.00074/BNC</v>
      </c>
      <c r="E783" s="24" t="str">
        <f>"142458240074"</f>
        <v>142458240074</v>
      </c>
      <c r="F783" s="24" t="str">
        <f t="shared" si="32"/>
        <v>PINZA DE EXPLORACION</v>
      </c>
      <c r="G783" s="24" t="s">
        <v>14</v>
      </c>
      <c r="H783" s="24" t="s">
        <v>15</v>
      </c>
      <c r="I783" s="27">
        <v>1</v>
      </c>
      <c r="J783" s="48" t="s">
        <v>16</v>
      </c>
      <c r="K783" s="10">
        <v>5</v>
      </c>
    </row>
    <row r="784" spans="1:11" ht="36.75" x14ac:dyDescent="0.3">
      <c r="A784" s="22">
        <v>780</v>
      </c>
      <c r="B784" s="23" t="s">
        <v>588</v>
      </c>
      <c r="C784" s="24" t="str">
        <f t="shared" si="30"/>
        <v>142458</v>
      </c>
      <c r="D784" s="24" t="str">
        <f>"14.142458/2024.00075/BNC"</f>
        <v>14.142458/2024.00075/BNC</v>
      </c>
      <c r="E784" s="24" t="str">
        <f>"142458240075"</f>
        <v>142458240075</v>
      </c>
      <c r="F784" s="24" t="str">
        <f t="shared" si="32"/>
        <v>PINZA DE EXPLORACION</v>
      </c>
      <c r="G784" s="24" t="s">
        <v>14</v>
      </c>
      <c r="H784" s="24" t="s">
        <v>15</v>
      </c>
      <c r="I784" s="27">
        <v>1</v>
      </c>
      <c r="J784" s="48" t="s">
        <v>16</v>
      </c>
      <c r="K784" s="10">
        <v>5</v>
      </c>
    </row>
    <row r="785" spans="1:11" ht="36.75" x14ac:dyDescent="0.3">
      <c r="A785" s="22">
        <v>781</v>
      </c>
      <c r="B785" s="23" t="s">
        <v>588</v>
      </c>
      <c r="C785" s="24" t="str">
        <f t="shared" si="30"/>
        <v>142458</v>
      </c>
      <c r="D785" s="24" t="str">
        <f>"14.142458/2024.00076/BNC"</f>
        <v>14.142458/2024.00076/BNC</v>
      </c>
      <c r="E785" s="24" t="str">
        <f>"142458240076"</f>
        <v>142458240076</v>
      </c>
      <c r="F785" s="24" t="str">
        <f t="shared" si="32"/>
        <v>PINZA DE EXPLORACION</v>
      </c>
      <c r="G785" s="24" t="s">
        <v>14</v>
      </c>
      <c r="H785" s="24" t="s">
        <v>15</v>
      </c>
      <c r="I785" s="27">
        <v>1</v>
      </c>
      <c r="J785" s="48" t="s">
        <v>16</v>
      </c>
      <c r="K785" s="10">
        <v>5</v>
      </c>
    </row>
    <row r="786" spans="1:11" ht="36.75" x14ac:dyDescent="0.3">
      <c r="A786" s="22">
        <v>782</v>
      </c>
      <c r="B786" s="23" t="s">
        <v>588</v>
      </c>
      <c r="C786" s="24" t="str">
        <f t="shared" si="30"/>
        <v>142458</v>
      </c>
      <c r="D786" s="24" t="str">
        <f>"14.142458/2024.00077/BNC"</f>
        <v>14.142458/2024.00077/BNC</v>
      </c>
      <c r="E786" s="24" t="str">
        <f>"142458240077"</f>
        <v>142458240077</v>
      </c>
      <c r="F786" s="24" t="str">
        <f t="shared" si="32"/>
        <v>PINZA DE EXPLORACION</v>
      </c>
      <c r="G786" s="24" t="s">
        <v>14</v>
      </c>
      <c r="H786" s="24" t="s">
        <v>15</v>
      </c>
      <c r="I786" s="27">
        <v>1</v>
      </c>
      <c r="J786" s="48" t="s">
        <v>16</v>
      </c>
      <c r="K786" s="10">
        <v>5</v>
      </c>
    </row>
    <row r="787" spans="1:11" ht="36.75" x14ac:dyDescent="0.3">
      <c r="A787" s="22">
        <v>783</v>
      </c>
      <c r="B787" s="23" t="s">
        <v>588</v>
      </c>
      <c r="C787" s="24" t="str">
        <f t="shared" si="30"/>
        <v>142458</v>
      </c>
      <c r="D787" s="24" t="str">
        <f>"14.142458/2024.00078/BNC"</f>
        <v>14.142458/2024.00078/BNC</v>
      </c>
      <c r="E787" s="24" t="str">
        <f>"142458240078"</f>
        <v>142458240078</v>
      </c>
      <c r="F787" s="24" t="str">
        <f t="shared" si="32"/>
        <v>PINZA DE EXPLORACION</v>
      </c>
      <c r="G787" s="24" t="s">
        <v>14</v>
      </c>
      <c r="H787" s="24" t="s">
        <v>15</v>
      </c>
      <c r="I787" s="27">
        <v>1</v>
      </c>
      <c r="J787" s="48" t="s">
        <v>16</v>
      </c>
      <c r="K787" s="10">
        <v>5</v>
      </c>
    </row>
    <row r="788" spans="1:11" ht="36.75" x14ac:dyDescent="0.3">
      <c r="A788" s="22">
        <v>784</v>
      </c>
      <c r="B788" s="23" t="s">
        <v>589</v>
      </c>
      <c r="C788" s="24" t="str">
        <f>"142444"</f>
        <v>142444</v>
      </c>
      <c r="D788" s="24" t="str">
        <f>"14.142444/2024.00160/BNC"</f>
        <v>14.142444/2024.00160/BNC</v>
      </c>
      <c r="E788" s="24" t="str">
        <f>"142444240122"</f>
        <v>142444240122</v>
      </c>
      <c r="F788" s="24" t="str">
        <f>"SILLA FIJA"</f>
        <v>SILLA FIJA</v>
      </c>
      <c r="G788" s="24" t="s">
        <v>14</v>
      </c>
      <c r="H788" s="24" t="s">
        <v>15</v>
      </c>
      <c r="I788" s="27">
        <v>1</v>
      </c>
      <c r="J788" s="48" t="s">
        <v>16</v>
      </c>
      <c r="K788" s="10">
        <v>25</v>
      </c>
    </row>
    <row r="789" spans="1:11" ht="36.75" x14ac:dyDescent="0.3">
      <c r="A789" s="22">
        <v>785</v>
      </c>
      <c r="B789" s="23" t="s">
        <v>589</v>
      </c>
      <c r="C789" s="24" t="str">
        <f>"142444"</f>
        <v>142444</v>
      </c>
      <c r="D789" s="24" t="str">
        <f>"14.142444/2024.00161/BNC"</f>
        <v>14.142444/2024.00161/BNC</v>
      </c>
      <c r="E789" s="24" t="str">
        <f>"142444240123"</f>
        <v>142444240123</v>
      </c>
      <c r="F789" s="24" t="str">
        <f>"SILLA FIJA COLOR NEGRO"</f>
        <v>SILLA FIJA COLOR NEGRO</v>
      </c>
      <c r="G789" s="24" t="s">
        <v>14</v>
      </c>
      <c r="H789" s="24" t="s">
        <v>15</v>
      </c>
      <c r="I789" s="27">
        <v>1</v>
      </c>
      <c r="J789" s="48" t="s">
        <v>16</v>
      </c>
      <c r="K789" s="10">
        <v>25</v>
      </c>
    </row>
    <row r="790" spans="1:11" ht="36.75" x14ac:dyDescent="0.3">
      <c r="A790" s="22">
        <v>786</v>
      </c>
      <c r="B790" s="23" t="s">
        <v>589</v>
      </c>
      <c r="C790" s="24" t="str">
        <f>"142444"</f>
        <v>142444</v>
      </c>
      <c r="D790" s="24" t="str">
        <f>"14.142444/2024.00162/BNC"</f>
        <v>14.142444/2024.00162/BNC</v>
      </c>
      <c r="E790" s="24" t="str">
        <f>"142444240124"</f>
        <v>142444240124</v>
      </c>
      <c r="F790" s="24" t="str">
        <f>"SILLA FIJA COLOR NEGRO"</f>
        <v>SILLA FIJA COLOR NEGRO</v>
      </c>
      <c r="G790" s="24" t="s">
        <v>14</v>
      </c>
      <c r="H790" s="24" t="s">
        <v>15</v>
      </c>
      <c r="I790" s="27">
        <v>1</v>
      </c>
      <c r="J790" s="48" t="s">
        <v>16</v>
      </c>
      <c r="K790" s="10">
        <v>25</v>
      </c>
    </row>
    <row r="791" spans="1:11" ht="36.75" x14ac:dyDescent="0.3">
      <c r="A791" s="22">
        <v>787</v>
      </c>
      <c r="B791" s="23" t="s">
        <v>589</v>
      </c>
      <c r="C791" s="24" t="str">
        <f>"142444"</f>
        <v>142444</v>
      </c>
      <c r="D791" s="24" t="str">
        <f>"14.142444/2024.00163/BNC"</f>
        <v>14.142444/2024.00163/BNC</v>
      </c>
      <c r="E791" s="24" t="str">
        <f>"142444240125"</f>
        <v>142444240125</v>
      </c>
      <c r="F791" s="24" t="str">
        <f>"SILLA FIJA VERDE"</f>
        <v>SILLA FIJA VERDE</v>
      </c>
      <c r="G791" s="24" t="s">
        <v>14</v>
      </c>
      <c r="H791" s="24" t="s">
        <v>15</v>
      </c>
      <c r="I791" s="27">
        <v>1</v>
      </c>
      <c r="J791" s="48" t="s">
        <v>16</v>
      </c>
      <c r="K791" s="10">
        <v>25</v>
      </c>
    </row>
    <row r="792" spans="1:11" ht="19.5" customHeight="1" thickBot="1" x14ac:dyDescent="0.35">
      <c r="A792" s="49">
        <v>788</v>
      </c>
      <c r="B792" s="50" t="s">
        <v>589</v>
      </c>
      <c r="C792" s="51" t="str">
        <f>"142444"</f>
        <v>142444</v>
      </c>
      <c r="D792" s="51" t="str">
        <f>"14.142444/2024.00164/BNC"</f>
        <v>14.142444/2024.00164/BNC</v>
      </c>
      <c r="E792" s="51" t="str">
        <f>"142444240126"</f>
        <v>142444240126</v>
      </c>
      <c r="F792" s="51" t="str">
        <f>"SILLA FIJA VERDE"</f>
        <v>SILLA FIJA VERDE</v>
      </c>
      <c r="G792" s="51" t="s">
        <v>14</v>
      </c>
      <c r="H792" s="51" t="s">
        <v>15</v>
      </c>
      <c r="I792" s="52">
        <v>1</v>
      </c>
      <c r="J792" s="53" t="s">
        <v>16</v>
      </c>
      <c r="K792" s="10">
        <v>25</v>
      </c>
    </row>
    <row r="793" spans="1:11" ht="21" thickBot="1" x14ac:dyDescent="0.35">
      <c r="A793" s="6"/>
      <c r="B793" s="7"/>
      <c r="C793" s="7"/>
      <c r="D793" s="7"/>
      <c r="E793" s="8"/>
      <c r="F793" s="9"/>
      <c r="G793" s="7"/>
      <c r="H793" s="7"/>
      <c r="I793" s="8"/>
      <c r="J793" s="7"/>
      <c r="K793" s="12">
        <f>SUM(K5:K792)</f>
        <v>33655</v>
      </c>
    </row>
  </sheetData>
  <autoFilter ref="A4:M793" xr:uid="{AF0AC318-5805-4C2A-8D1A-20F550482067}"/>
  <mergeCells count="2">
    <mergeCell ref="A1:K1"/>
    <mergeCell ref="A2:K2"/>
  </mergeCells>
  <conditionalFormatting sqref="E5:E507">
    <cfRule type="duplicateValues" dxfId="3" priority="3"/>
  </conditionalFormatting>
  <conditionalFormatting sqref="D4">
    <cfRule type="duplicateValues" dxfId="2" priority="4"/>
  </conditionalFormatting>
  <conditionalFormatting sqref="D510">
    <cfRule type="duplicateValues" dxfId="1" priority="2"/>
  </conditionalFormatting>
  <conditionalFormatting sqref="E511:E5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1" fitToHeight="1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Arcelia Mendoza Lopez</dc:creator>
  <cp:lastModifiedBy>Elsa Arcelia Mendoza Lopez</cp:lastModifiedBy>
  <cp:lastPrinted>2024-10-04T19:21:52Z</cp:lastPrinted>
  <dcterms:created xsi:type="dcterms:W3CDTF">2024-10-04T19:00:44Z</dcterms:created>
  <dcterms:modified xsi:type="dcterms:W3CDTF">2024-10-04T19:28:17Z</dcterms:modified>
</cp:coreProperties>
</file>